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1" sheetId="1" r:id="rId1"/>
  </sheets>
  <definedNames>
    <definedName name="_xlnm.Print_Titles" localSheetId="0">'1'!$1:$4</definedName>
    <definedName name="_xlnm._FilterDatabase" localSheetId="0" hidden="1">'1'!$A$4:$R$69</definedName>
  </definedNames>
  <calcPr fullCalcOnLoad="1"/>
</workbook>
</file>

<file path=xl/sharedStrings.xml><?xml version="1.0" encoding="utf-8"?>
<sst xmlns="http://schemas.openxmlformats.org/spreadsheetml/2006/main" count="488" uniqueCount="80">
  <si>
    <t>抚远市2023年统筹整合涉农资金指标台账</t>
  </si>
  <si>
    <t>序号</t>
  </si>
  <si>
    <t>资金来源</t>
  </si>
  <si>
    <t>资金去向</t>
  </si>
  <si>
    <t>实际支付</t>
  </si>
  <si>
    <t>结余</t>
  </si>
  <si>
    <t>项目名称</t>
  </si>
  <si>
    <t>指标文号</t>
  </si>
  <si>
    <t>资金性质</t>
  </si>
  <si>
    <t>总指标金额</t>
  </si>
  <si>
    <t>科目名称</t>
  </si>
  <si>
    <t>科目编码</t>
  </si>
  <si>
    <t>对应《整合实施方案》项目情况</t>
  </si>
  <si>
    <t>分配金额</t>
  </si>
  <si>
    <t>调整后列支情况</t>
  </si>
  <si>
    <t>行业部门</t>
  </si>
  <si>
    <t>实施单位</t>
  </si>
  <si>
    <t>备注</t>
  </si>
  <si>
    <t>项目序号</t>
  </si>
  <si>
    <t>用途性质</t>
  </si>
  <si>
    <t>中央财政衔接推进乡村振兴补助资金（巩固拓展脱贫攻坚成果和乡村振兴任务）</t>
  </si>
  <si>
    <t>黑财指（农）【2023】34号</t>
  </si>
  <si>
    <t>中央</t>
  </si>
  <si>
    <t>巩固脱贫衔接乡村振兴</t>
  </si>
  <si>
    <t>鲜食玉米加工生产设备项目</t>
  </si>
  <si>
    <t>生产发展</t>
  </si>
  <si>
    <t>通江镇</t>
  </si>
  <si>
    <t>红光赫哲村水貂养殖基地建设项目</t>
  </si>
  <si>
    <t>抚远镇</t>
  </si>
  <si>
    <t>大鹅养殖项目</t>
  </si>
  <si>
    <t>寒葱沟镇</t>
  </si>
  <si>
    <t>购买打包机项目</t>
  </si>
  <si>
    <t>乌苏镇</t>
  </si>
  <si>
    <t>购置农机具项目</t>
  </si>
  <si>
    <t>别拉洪乡</t>
  </si>
  <si>
    <t>农田路项目</t>
  </si>
  <si>
    <t>农村基础设施建设</t>
  </si>
  <si>
    <t>鸭南乡</t>
  </si>
  <si>
    <t>浓江乡</t>
  </si>
  <si>
    <t>村内道路硬化项目</t>
  </si>
  <si>
    <t>海青镇</t>
  </si>
  <si>
    <t xml:space="preserve"> </t>
  </si>
  <si>
    <t>新建方涵项目</t>
  </si>
  <si>
    <t>项目管理费</t>
  </si>
  <si>
    <t>其他巩固脱贫攻坚成果衔接乡村振兴支出</t>
  </si>
  <si>
    <t>雨露计划</t>
  </si>
  <si>
    <t>乡村振兴局</t>
  </si>
  <si>
    <t>省外务工脱贫劳动力（含监测帮扶对象）交通补贴</t>
  </si>
  <si>
    <t>务工劳动力（含监测帮扶对象）生产奖补</t>
  </si>
  <si>
    <t>鸭南乡平原村涵管项目</t>
  </si>
  <si>
    <t>小计</t>
  </si>
  <si>
    <t>中央财政衔接推进乡村振兴补助资金（少数民族发展任务）</t>
  </si>
  <si>
    <t>黑财指（农）【2023】36号</t>
  </si>
  <si>
    <t>分布式光伏发电项目</t>
  </si>
  <si>
    <t>赫哲族村饮水安全项目</t>
  </si>
  <si>
    <t>桥涵项目</t>
  </si>
  <si>
    <t>涵管</t>
  </si>
  <si>
    <t>赫哲族村深水井项目</t>
  </si>
  <si>
    <t>省级财政衔接推进乡村振兴补助资金（巩固拓展脱贫攻坚成果和乡村振兴任务）</t>
  </si>
  <si>
    <t>黑财指（农）【2023】78号</t>
  </si>
  <si>
    <t>省级</t>
  </si>
  <si>
    <t>养鹅基地维修扩建项目</t>
  </si>
  <si>
    <t>浓桥镇</t>
  </si>
  <si>
    <t>修缮农田路</t>
  </si>
  <si>
    <t>创业断头路</t>
  </si>
  <si>
    <t>路边沟</t>
  </si>
  <si>
    <t>创业村石砌路边沟项目</t>
  </si>
  <si>
    <t>农田排水沟清淤项目</t>
  </si>
  <si>
    <t>黑财指（农）【2023】194号</t>
  </si>
  <si>
    <t>红光村水貂养殖基地项目</t>
  </si>
  <si>
    <t>东红村酱菜加工厂</t>
  </si>
  <si>
    <t>农场事务中心</t>
  </si>
  <si>
    <t>黑财指（农）【2023】195号</t>
  </si>
  <si>
    <t>自来水改造项目</t>
  </si>
  <si>
    <t>生产奖补</t>
  </si>
  <si>
    <t>黑财指（农）【2023】196号</t>
  </si>
  <si>
    <t>省级财政衔接推进乡村振兴补助资金（少数民族发展任务）</t>
  </si>
  <si>
    <t>黑财指（农）【2023】199号</t>
  </si>
  <si>
    <t>农机停放场项目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</si>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</sst>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#,##0.00_ ;[Red]\-#,##0.00\ 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0"/>
      <name val="仿宋_GB2312"/>
      <family val="3"/>
    </font>
    <font>
      <sz val="12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仿宋_GB2312"/>
      <family val="3"/>
    </font>
    <font>
      <sz val="6"/>
      <name val="仿宋_GB2312"/>
      <family val="3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0"/>
      <color theme="1"/>
      <name val="仿宋_GB2312"/>
      <family val="3"/>
    </font>
    <font>
      <sz val="10"/>
      <color rgb="FF000000"/>
      <name val="仿宋_GB2312"/>
      <family val="3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12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0" fillId="4" borderId="0" applyNumberFormat="0" applyBorder="0" applyAlignment="0" applyProtection="0"/>
    <xf numFmtId="0" fontId="28" fillId="2" borderId="0" applyNumberFormat="0" applyBorder="0" applyAlignment="0" applyProtection="0"/>
    <xf numFmtId="0" fontId="27" fillId="5" borderId="0" applyNumberFormat="0" applyBorder="0" applyAlignment="0" applyProtection="0"/>
    <xf numFmtId="9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20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5" borderId="0" applyNumberFormat="0" applyBorder="0" applyAlignment="0" applyProtection="0"/>
    <xf numFmtId="0" fontId="6" fillId="0" borderId="0">
      <alignment/>
      <protection/>
    </xf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9" fillId="0" borderId="4" applyNumberFormat="0" applyFill="0" applyAlignment="0" applyProtection="0"/>
    <xf numFmtId="0" fontId="20" fillId="8" borderId="0" applyNumberFormat="0" applyBorder="0" applyAlignment="0" applyProtection="0"/>
    <xf numFmtId="0" fontId="12" fillId="0" borderId="5" applyNumberFormat="0" applyFill="0" applyAlignment="0" applyProtection="0"/>
    <xf numFmtId="0" fontId="20" fillId="9" borderId="0" applyNumberFormat="0" applyBorder="0" applyAlignment="0" applyProtection="0"/>
    <xf numFmtId="0" fontId="18" fillId="5" borderId="0" applyNumberFormat="0" applyBorder="0" applyAlignment="0" applyProtection="0"/>
    <xf numFmtId="0" fontId="24" fillId="10" borderId="6" applyNumberFormat="0" applyAlignment="0" applyProtection="0"/>
    <xf numFmtId="0" fontId="1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20" fillId="12" borderId="0" applyNumberFormat="0" applyBorder="0" applyAlignment="0" applyProtection="0"/>
    <xf numFmtId="0" fontId="15" fillId="0" borderId="8" applyNumberFormat="0" applyFill="0" applyAlignment="0" applyProtection="0"/>
    <xf numFmtId="0" fontId="10" fillId="0" borderId="9" applyNumberFormat="0" applyFill="0" applyAlignment="0" applyProtection="0"/>
    <xf numFmtId="0" fontId="28" fillId="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0" fillId="18" borderId="0" applyNumberFormat="0" applyBorder="0" applyAlignment="0" applyProtection="0"/>
    <xf numFmtId="41" fontId="6" fillId="0" borderId="0" applyFont="0" applyFill="0" applyBorder="0" applyAlignment="0" applyProtection="0"/>
    <xf numFmtId="0" fontId="18" fillId="5" borderId="0" applyNumberFormat="0" applyBorder="0" applyAlignment="0" applyProtection="0"/>
    <xf numFmtId="0" fontId="27" fillId="5" borderId="0" applyNumberFormat="0" applyBorder="0" applyAlignment="0" applyProtection="0"/>
    <xf numFmtId="0" fontId="20" fillId="9" borderId="0" applyNumberFormat="0" applyBorder="0" applyAlignment="0" applyProtection="0"/>
    <xf numFmtId="0" fontId="0" fillId="19" borderId="0" applyNumberFormat="0" applyBorder="0" applyAlignment="0" applyProtection="0"/>
    <xf numFmtId="0" fontId="18" fillId="5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0" fillId="22" borderId="0" applyNumberFormat="0" applyBorder="0" applyAlignment="0" applyProtection="0"/>
    <xf numFmtId="0" fontId="20" fillId="23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>
      <alignment/>
      <protection/>
    </xf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 vertical="center"/>
      <protection/>
    </xf>
  </cellStyleXfs>
  <cellXfs count="79">
    <xf numFmtId="0" fontId="0" fillId="0" borderId="0" xfId="0" applyAlignment="1">
      <alignment vertical="center"/>
    </xf>
    <xf numFmtId="0" fontId="2" fillId="24" borderId="0" xfId="80" applyFont="1" applyFill="1">
      <alignment/>
      <protection/>
    </xf>
    <xf numFmtId="0" fontId="3" fillId="24" borderId="0" xfId="80" applyFont="1" applyFill="1" applyAlignment="1">
      <alignment horizontal="center"/>
      <protection/>
    </xf>
    <xf numFmtId="0" fontId="4" fillId="0" borderId="0" xfId="0" applyFont="1" applyAlignment="1">
      <alignment horizontal="center" vertical="center"/>
    </xf>
    <xf numFmtId="0" fontId="5" fillId="0" borderId="0" xfId="80" applyFont="1" applyFill="1" applyAlignment="1">
      <alignment horizontal="center"/>
      <protection/>
    </xf>
    <xf numFmtId="0" fontId="3" fillId="25" borderId="0" xfId="80" applyFont="1" applyFill="1" applyAlignment="1">
      <alignment horizontal="center"/>
      <protection/>
    </xf>
    <xf numFmtId="0" fontId="5" fillId="25" borderId="0" xfId="80" applyFont="1" applyFill="1" applyAlignment="1">
      <alignment horizontal="center"/>
      <protection/>
    </xf>
    <xf numFmtId="0" fontId="0" fillId="24" borderId="0" xfId="85" applyFont="1" applyFill="1" applyProtection="1">
      <alignment vertical="center"/>
      <protection locked="0"/>
    </xf>
    <xf numFmtId="0" fontId="1" fillId="24" borderId="0" xfId="85" applyFont="1" applyFill="1" applyAlignment="1" applyProtection="1">
      <alignment horizontal="center" vertical="center"/>
      <protection locked="0"/>
    </xf>
    <xf numFmtId="0" fontId="1" fillId="0" borderId="0" xfId="85" applyFont="1" applyFill="1" applyProtection="1">
      <alignment vertical="center"/>
      <protection locked="0"/>
    </xf>
    <xf numFmtId="43" fontId="0" fillId="24" borderId="0" xfId="85" applyNumberFormat="1" applyFont="1" applyFill="1" applyProtection="1">
      <alignment vertical="center"/>
      <protection locked="0"/>
    </xf>
    <xf numFmtId="43" fontId="6" fillId="24" borderId="0" xfId="80" applyNumberFormat="1" applyFill="1">
      <alignment/>
      <protection/>
    </xf>
    <xf numFmtId="0" fontId="6" fillId="24" borderId="0" xfId="80" applyFill="1">
      <alignment/>
      <protection/>
    </xf>
    <xf numFmtId="0" fontId="7" fillId="24" borderId="0" xfId="100" applyNumberFormat="1" applyFont="1" applyFill="1" applyAlignment="1" applyProtection="1">
      <alignment horizontal="center" vertical="center" wrapText="1"/>
      <protection locked="0"/>
    </xf>
    <xf numFmtId="0" fontId="7" fillId="0" borderId="0" xfId="100" applyNumberFormat="1" applyFont="1" applyFill="1" applyAlignment="1" applyProtection="1">
      <alignment horizontal="center" vertical="center" wrapText="1"/>
      <protection locked="0"/>
    </xf>
    <xf numFmtId="0" fontId="8" fillId="24" borderId="10" xfId="10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00" applyNumberFormat="1" applyFont="1" applyFill="1" applyBorder="1" applyAlignment="1" applyProtection="1">
      <alignment horizontal="center" vertical="center" wrapText="1"/>
      <protection locked="0"/>
    </xf>
    <xf numFmtId="0" fontId="5" fillId="24" borderId="10" xfId="10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94" applyNumberFormat="1" applyFont="1" applyFill="1" applyBorder="1" applyAlignment="1" applyProtection="1">
      <alignment horizontal="center" vertical="center" wrapText="1"/>
      <protection locked="0"/>
    </xf>
    <xf numFmtId="0" fontId="8" fillId="24" borderId="10" xfId="94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100" applyNumberFormat="1" applyFont="1" applyFill="1" applyBorder="1" applyAlignment="1" applyProtection="1">
      <alignment horizontal="center" vertical="center" wrapText="1"/>
      <protection locked="0"/>
    </xf>
    <xf numFmtId="0" fontId="4" fillId="24" borderId="10" xfId="100" applyNumberFormat="1" applyFont="1" applyFill="1" applyBorder="1" applyAlignment="1" applyProtection="1">
      <alignment horizontal="center" vertical="center" wrapText="1"/>
      <protection locked="0"/>
    </xf>
    <xf numFmtId="180" fontId="3" fillId="0" borderId="10" xfId="125" applyNumberFormat="1" applyFont="1" applyFill="1" applyBorder="1" applyAlignment="1">
      <alignment horizontal="center" vertical="center" shrinkToFit="1"/>
      <protection/>
    </xf>
    <xf numFmtId="0" fontId="3" fillId="24" borderId="10" xfId="100" applyNumberFormat="1" applyFont="1" applyFill="1" applyBorder="1" applyAlignment="1" applyProtection="1">
      <alignment horizontal="center" vertical="center" wrapText="1"/>
      <protection locked="0"/>
    </xf>
    <xf numFmtId="43" fontId="4" fillId="0" borderId="11" xfId="125" applyNumberFormat="1" applyFont="1" applyBorder="1" applyAlignment="1">
      <alignment horizontal="center" vertical="center"/>
      <protection/>
    </xf>
    <xf numFmtId="0" fontId="4" fillId="24" borderId="10" xfId="94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100" applyNumberFormat="1" applyFont="1" applyFill="1" applyBorder="1" applyAlignment="1" applyProtection="1">
      <alignment horizontal="center" vertical="center" wrapText="1"/>
      <protection locked="0"/>
    </xf>
    <xf numFmtId="43" fontId="4" fillId="0" borderId="12" xfId="125" applyNumberFormat="1" applyFont="1" applyBorder="1" applyAlignment="1">
      <alignment horizontal="center" vertical="center"/>
      <protection/>
    </xf>
    <xf numFmtId="43" fontId="4" fillId="0" borderId="12" xfId="125" applyNumberFormat="1" applyFont="1" applyFill="1" applyBorder="1" applyAlignment="1">
      <alignment horizontal="center" vertical="center"/>
      <protection/>
    </xf>
    <xf numFmtId="0" fontId="4" fillId="0" borderId="10" xfId="94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100" applyNumberFormat="1" applyFont="1" applyFill="1" applyBorder="1" applyAlignment="1" applyProtection="1">
      <alignment horizontal="center" vertical="center" wrapText="1"/>
      <protection locked="0"/>
    </xf>
    <xf numFmtId="0" fontId="4" fillId="25" borderId="13" xfId="100" applyNumberFormat="1" applyFont="1" applyFill="1" applyBorder="1" applyAlignment="1" applyProtection="1">
      <alignment horizontal="center" vertical="center" wrapText="1"/>
      <protection locked="0"/>
    </xf>
    <xf numFmtId="0" fontId="4" fillId="25" borderId="14" xfId="100" applyNumberFormat="1" applyFont="1" applyFill="1" applyBorder="1" applyAlignment="1" applyProtection="1">
      <alignment horizontal="center" vertical="center" wrapText="1"/>
      <protection locked="0"/>
    </xf>
    <xf numFmtId="180" fontId="3" fillId="25" borderId="10" xfId="125" applyNumberFormat="1" applyFont="1" applyFill="1" applyBorder="1" applyAlignment="1">
      <alignment horizontal="center" vertical="center" shrinkToFit="1"/>
      <protection/>
    </xf>
    <xf numFmtId="0" fontId="3" fillId="25" borderId="10" xfId="100" applyNumberFormat="1" applyFont="1" applyFill="1" applyBorder="1" applyAlignment="1" applyProtection="1">
      <alignment horizontal="center" vertical="center" wrapText="1"/>
      <protection locked="0"/>
    </xf>
    <xf numFmtId="43" fontId="4" fillId="25" borderId="10" xfId="94" applyNumberFormat="1" applyFont="1" applyFill="1" applyBorder="1" applyAlignment="1" applyProtection="1">
      <alignment horizontal="center" vertical="center" wrapText="1"/>
      <protection locked="0"/>
    </xf>
    <xf numFmtId="0" fontId="4" fillId="25" borderId="10" xfId="94" applyNumberFormat="1" applyFont="1" applyFill="1" applyBorder="1" applyAlignment="1" applyProtection="1">
      <alignment horizontal="center" vertical="center" wrapText="1"/>
      <protection locked="0"/>
    </xf>
    <xf numFmtId="0" fontId="3" fillId="26" borderId="10" xfId="0" applyFont="1" applyFill="1" applyBorder="1" applyAlignment="1">
      <alignment horizontal="center" vertical="center" wrapText="1"/>
    </xf>
    <xf numFmtId="43" fontId="4" fillId="0" borderId="15" xfId="125" applyNumberFormat="1" applyFont="1" applyBorder="1" applyAlignment="1">
      <alignment horizontal="center" vertical="center"/>
      <protection/>
    </xf>
    <xf numFmtId="0" fontId="3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43" fontId="4" fillId="0" borderId="12" xfId="94" applyNumberFormat="1" applyFont="1" applyFill="1" applyBorder="1" applyAlignment="1" applyProtection="1">
      <alignment horizontal="center" vertical="center" wrapText="1"/>
      <protection locked="0"/>
    </xf>
    <xf numFmtId="43" fontId="4" fillId="0" borderId="15" xfId="94" applyNumberFormat="1" applyFont="1" applyFill="1" applyBorder="1" applyAlignment="1" applyProtection="1">
      <alignment horizontal="center" vertical="center" wrapText="1"/>
      <protection locked="0"/>
    </xf>
    <xf numFmtId="43" fontId="4" fillId="0" borderId="11" xfId="94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80" applyFont="1" applyFill="1" applyAlignment="1">
      <alignment horizontal="center"/>
      <protection/>
    </xf>
    <xf numFmtId="43" fontId="7" fillId="24" borderId="0" xfId="100" applyNumberFormat="1" applyFont="1" applyFill="1" applyAlignment="1" applyProtection="1">
      <alignment horizontal="center" vertical="center" wrapText="1"/>
      <protection locked="0"/>
    </xf>
    <xf numFmtId="43" fontId="8" fillId="24" borderId="10" xfId="100" applyNumberFormat="1" applyFont="1" applyFill="1" applyBorder="1" applyAlignment="1" applyProtection="1">
      <alignment horizontal="center" vertical="center" wrapText="1"/>
      <protection locked="0"/>
    </xf>
    <xf numFmtId="43" fontId="8" fillId="24" borderId="10" xfId="94" applyNumberFormat="1" applyFont="1" applyFill="1" applyBorder="1" applyAlignment="1" applyProtection="1">
      <alignment horizontal="center" vertical="center" wrapText="1"/>
      <protection locked="0"/>
    </xf>
    <xf numFmtId="180" fontId="3" fillId="0" borderId="10" xfId="125" applyNumberFormat="1" applyFont="1" applyFill="1" applyBorder="1" applyAlignment="1">
      <alignment horizontal="center" vertical="center" wrapText="1"/>
      <protection/>
    </xf>
    <xf numFmtId="43" fontId="4" fillId="0" borderId="10" xfId="125" applyNumberFormat="1" applyFont="1" applyFill="1" applyBorder="1" applyAlignment="1">
      <alignment horizontal="center" vertical="center"/>
      <protection/>
    </xf>
    <xf numFmtId="0" fontId="3" fillId="0" borderId="10" xfId="125" applyFont="1" applyFill="1" applyBorder="1" applyAlignment="1">
      <alignment horizontal="center" vertical="center" wrapText="1"/>
      <protection/>
    </xf>
    <xf numFmtId="43" fontId="3" fillId="0" borderId="10" xfId="125" applyNumberFormat="1" applyFont="1" applyFill="1" applyBorder="1" applyAlignment="1">
      <alignment horizontal="center" vertical="center"/>
      <protection/>
    </xf>
    <xf numFmtId="43" fontId="9" fillId="0" borderId="10" xfId="10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100" applyNumberFormat="1" applyFont="1" applyFill="1" applyBorder="1" applyAlignment="1" applyProtection="1">
      <alignment horizontal="center" vertical="center" wrapText="1"/>
      <protection locked="0"/>
    </xf>
    <xf numFmtId="180" fontId="3" fillId="25" borderId="10" xfId="125" applyNumberFormat="1" applyFont="1" applyFill="1" applyBorder="1" applyAlignment="1">
      <alignment horizontal="center" vertical="center" wrapText="1"/>
      <protection/>
    </xf>
    <xf numFmtId="43" fontId="3" fillId="25" borderId="10" xfId="125" applyNumberFormat="1" applyFont="1" applyFill="1" applyBorder="1" applyAlignment="1">
      <alignment horizontal="center" vertical="center"/>
      <protection/>
    </xf>
    <xf numFmtId="0" fontId="4" fillId="25" borderId="10" xfId="100" applyNumberFormat="1" applyFont="1" applyFill="1" applyBorder="1" applyAlignment="1" applyProtection="1">
      <alignment horizontal="center" vertical="center" wrapText="1"/>
      <protection locked="0"/>
    </xf>
    <xf numFmtId="0" fontId="29" fillId="25" borderId="10" xfId="0" applyFont="1" applyFill="1" applyBorder="1" applyAlignment="1">
      <alignment horizontal="center" vertical="center" wrapText="1"/>
    </xf>
    <xf numFmtId="0" fontId="4" fillId="0" borderId="10" xfId="100" applyNumberFormat="1" applyFont="1" applyFill="1" applyBorder="1" applyAlignment="1" applyProtection="1">
      <alignment horizontal="center" vertical="center" wrapText="1"/>
      <protection locked="0"/>
    </xf>
    <xf numFmtId="0" fontId="3" fillId="25" borderId="10" xfId="125" applyFont="1" applyFill="1" applyBorder="1" applyAlignment="1">
      <alignment horizontal="center" vertical="center" wrapText="1"/>
      <protection/>
    </xf>
    <xf numFmtId="0" fontId="4" fillId="25" borderId="10" xfId="10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43" fontId="3" fillId="0" borderId="15" xfId="125" applyNumberFormat="1" applyFont="1" applyFill="1" applyBorder="1" applyAlignment="1">
      <alignment horizontal="center" vertical="center"/>
      <protection/>
    </xf>
    <xf numFmtId="43" fontId="30" fillId="25" borderId="16" xfId="0" applyNumberFormat="1" applyFont="1" applyFill="1" applyBorder="1" applyAlignment="1">
      <alignment horizontal="center" vertical="center"/>
    </xf>
    <xf numFmtId="43" fontId="30" fillId="0" borderId="16" xfId="0" applyNumberFormat="1" applyFont="1" applyFill="1" applyBorder="1" applyAlignment="1">
      <alignment horizontal="center" vertical="center"/>
    </xf>
    <xf numFmtId="43" fontId="30" fillId="0" borderId="15" xfId="0" applyNumberFormat="1" applyFont="1" applyFill="1" applyBorder="1" applyAlignment="1">
      <alignment horizontal="center" vertical="center"/>
    </xf>
    <xf numFmtId="43" fontId="5" fillId="24" borderId="11" xfId="80" applyNumberFormat="1" applyFont="1" applyFill="1" applyBorder="1" applyAlignment="1">
      <alignment horizontal="center" vertical="center"/>
      <protection/>
    </xf>
    <xf numFmtId="0" fontId="5" fillId="24" borderId="11" xfId="80" applyFont="1" applyFill="1" applyBorder="1" applyAlignment="1">
      <alignment horizontal="center" vertical="center"/>
      <protection/>
    </xf>
    <xf numFmtId="43" fontId="5" fillId="24" borderId="12" xfId="80" applyNumberFormat="1" applyFont="1" applyFill="1" applyBorder="1" applyAlignment="1">
      <alignment horizontal="center" vertical="center"/>
      <protection/>
    </xf>
    <xf numFmtId="0" fontId="5" fillId="24" borderId="12" xfId="80" applyFont="1" applyFill="1" applyBorder="1" applyAlignment="1">
      <alignment horizontal="center" vertical="center"/>
      <protection/>
    </xf>
    <xf numFmtId="43" fontId="5" fillId="24" borderId="16" xfId="80" applyNumberFormat="1" applyFont="1" applyFill="1" applyBorder="1" applyAlignment="1">
      <alignment horizontal="center" vertical="center"/>
      <protection/>
    </xf>
    <xf numFmtId="0" fontId="5" fillId="24" borderId="16" xfId="80" applyFont="1" applyFill="1" applyBorder="1" applyAlignment="1">
      <alignment horizontal="center" vertical="center"/>
      <protection/>
    </xf>
    <xf numFmtId="43" fontId="3" fillId="0" borderId="10" xfId="100" applyNumberFormat="1" applyFont="1" applyFill="1" applyBorder="1" applyAlignment="1" applyProtection="1">
      <alignment horizontal="center" vertical="center" wrapText="1"/>
      <protection locked="0"/>
    </xf>
    <xf numFmtId="43" fontId="3" fillId="0" borderId="10" xfId="80" applyNumberFormat="1" applyFont="1" applyFill="1" applyBorder="1" applyAlignment="1">
      <alignment horizontal="center" vertical="center"/>
      <protection/>
    </xf>
    <xf numFmtId="43" fontId="3" fillId="25" borderId="10" xfId="100" applyNumberFormat="1" applyFont="1" applyFill="1" applyBorder="1" applyAlignment="1" applyProtection="1">
      <alignment horizontal="center" vertical="center" wrapText="1"/>
      <protection locked="0"/>
    </xf>
    <xf numFmtId="43" fontId="3" fillId="25" borderId="10" xfId="80" applyNumberFormat="1" applyFont="1" applyFill="1" applyBorder="1" applyAlignment="1">
      <alignment horizontal="center" vertical="center"/>
      <protection/>
    </xf>
    <xf numFmtId="43" fontId="4" fillId="0" borderId="10" xfId="100" applyNumberFormat="1" applyFont="1" applyFill="1" applyBorder="1" applyAlignment="1" applyProtection="1">
      <alignment horizontal="center" vertical="center" wrapText="1"/>
      <protection locked="0"/>
    </xf>
    <xf numFmtId="43" fontId="4" fillId="25" borderId="10" xfId="100" applyNumberFormat="1" applyFont="1" applyFill="1" applyBorder="1" applyAlignment="1" applyProtection="1">
      <alignment horizontal="center" vertical="center" wrapText="1"/>
      <protection locked="0"/>
    </xf>
    <xf numFmtId="0" fontId="3" fillId="25" borderId="10" xfId="125" applyFont="1" applyFill="1" applyBorder="1" applyAlignment="1">
      <alignment horizontal="center" vertical="center"/>
      <protection/>
    </xf>
  </cellXfs>
  <cellStyles count="11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Hyperlink" xfId="23"/>
    <cellStyle name="好_兰西2018年汇总表" xfId="24"/>
    <cellStyle name="60% - 强调文字颜色 3" xfId="25"/>
    <cellStyle name="好_同江 2018年汇总表_饶河" xfId="26"/>
    <cellStyle name="差_抚远 2018年汇总表" xfId="27"/>
    <cellStyle name="Percent" xfId="28"/>
    <cellStyle name="差_望奎2018年汇总表_饶河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标题" xfId="36"/>
    <cellStyle name="常规 5 2" xfId="37"/>
    <cellStyle name="差_拜泉 2018年汇总表" xfId="38"/>
    <cellStyle name="解释性文本" xfId="39"/>
    <cellStyle name="标题 1" xfId="40"/>
    <cellStyle name="差_甘南 2018年汇总表" xfId="41"/>
    <cellStyle name="常规 9" xfId="42"/>
    <cellStyle name="差_桦川2018年汇总表_饶河" xfId="43"/>
    <cellStyle name="差_同江 2018年汇总表_饶河" xfId="44"/>
    <cellStyle name="标题 2" xfId="45"/>
    <cellStyle name="60% - 强调文字颜色 1" xfId="46"/>
    <cellStyle name="标题 3" xfId="47"/>
    <cellStyle name="60% - 强调文字颜色 4" xfId="48"/>
    <cellStyle name="差_兰西2018年汇总表_饶河" xfId="49"/>
    <cellStyle name="输出" xfId="50"/>
    <cellStyle name="计算" xfId="51"/>
    <cellStyle name="检查单元格" xfId="52"/>
    <cellStyle name="20% - 强调文字颜色 6" xfId="53"/>
    <cellStyle name="强调文字颜色 2" xfId="54"/>
    <cellStyle name="链接单元格" xfId="55"/>
    <cellStyle name="汇总" xfId="56"/>
    <cellStyle name="好" xfId="57"/>
    <cellStyle name="适中" xfId="58"/>
    <cellStyle name="20% - 强调文字颜色 5" xfId="59"/>
    <cellStyle name="强调文字颜色 1" xfId="60"/>
    <cellStyle name="20% - 强调文字颜色 1" xfId="61"/>
    <cellStyle name="40% - 强调文字颜色 1" xfId="62"/>
    <cellStyle name="20% - 强调文字颜色 2" xfId="63"/>
    <cellStyle name="40% - 强调文字颜色 2" xfId="64"/>
    <cellStyle name="强调文字颜色 3" xfId="65"/>
    <cellStyle name="千位分隔[0] 2" xfId="66"/>
    <cellStyle name="差_甘南 2018年汇总表_饶河" xfId="67"/>
    <cellStyle name="差_克东2018年汇总表" xfId="68"/>
    <cellStyle name="强调文字颜色 4" xfId="69"/>
    <cellStyle name="20% - 强调文字颜色 4" xfId="70"/>
    <cellStyle name="差_拜泉 2018年汇总表_饶河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40% - 强调文字颜色 6" xfId="77"/>
    <cellStyle name="60% - 强调文字颜色 6" xfId="78"/>
    <cellStyle name="差_望奎2018年汇总表" xfId="79"/>
    <cellStyle name="常规 10" xfId="80"/>
    <cellStyle name="差_同江 2018年汇总表" xfId="81"/>
    <cellStyle name="差_桦川2018年汇总表" xfId="82"/>
    <cellStyle name="差_兰西2018年汇总表" xfId="83"/>
    <cellStyle name="常规 11" xfId="84"/>
    <cellStyle name="常规 3_绥滨 2018年汇总表 2" xfId="85"/>
    <cellStyle name="常规 14" xfId="86"/>
    <cellStyle name="常规 19" xfId="87"/>
    <cellStyle name="常规 2" xfId="88"/>
    <cellStyle name="好_望奎2018年汇总表_饶河" xfId="89"/>
    <cellStyle name="常规 2 2" xfId="90"/>
    <cellStyle name="常规 2 2 2" xfId="91"/>
    <cellStyle name="常规 2 2 3" xfId="92"/>
    <cellStyle name="常规 2 2_富裕2018年汇总表" xfId="93"/>
    <cellStyle name="常规 2 2_富裕2018年汇总表 2" xfId="94"/>
    <cellStyle name="常规 2 3" xfId="95"/>
    <cellStyle name="常规 2 4" xfId="96"/>
    <cellStyle name="常规 2 4 2" xfId="97"/>
    <cellStyle name="常规 2 5" xfId="98"/>
    <cellStyle name="常规 2_拜泉 2018年汇总表" xfId="99"/>
    <cellStyle name="常规 2_绥滨 2018年汇总表 2" xfId="100"/>
    <cellStyle name="常规 23" xfId="101"/>
    <cellStyle name="常规 3" xfId="102"/>
    <cellStyle name="常规 3 2" xfId="103"/>
    <cellStyle name="常规 3_抚远 2018年汇总表" xfId="104"/>
    <cellStyle name="常规 4" xfId="105"/>
    <cellStyle name="常规 4 2" xfId="106"/>
    <cellStyle name="常规 4 3" xfId="107"/>
    <cellStyle name="常规 4_拜泉 2018年汇总表" xfId="108"/>
    <cellStyle name="常规 5" xfId="109"/>
    <cellStyle name="常规 5_拜泉 2018年汇总表" xfId="110"/>
    <cellStyle name="常规 7" xfId="111"/>
    <cellStyle name="常规 7 2" xfId="112"/>
    <cellStyle name="常规 8" xfId="113"/>
    <cellStyle name="好_拜泉 2018年汇总表" xfId="114"/>
    <cellStyle name="好_拜泉 2018年汇总表_饶河" xfId="115"/>
    <cellStyle name="好_甘南 2018年汇总表" xfId="116"/>
    <cellStyle name="好_甘南 2018年汇总表_饶河" xfId="117"/>
    <cellStyle name="好_桦川2018年汇总表" xfId="118"/>
    <cellStyle name="好_桦川2018年汇总表_饶河" xfId="119"/>
    <cellStyle name="好_兰西2018年汇总表_饶河" xfId="120"/>
    <cellStyle name="好_同江 2018年汇总表" xfId="121"/>
    <cellStyle name="好_望奎2018年汇总表" xfId="122"/>
    <cellStyle name="千位分隔 2" xfId="123"/>
    <cellStyle name="常规_1月报666666" xfId="124"/>
    <cellStyle name="常规_2012年拨款单(业务科)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tabSelected="1" zoomScale="130" zoomScaleNormal="130" workbookViewId="0" topLeftCell="A1">
      <pane ySplit="4" topLeftCell="A5" activePane="bottomLeft" state="frozen"/>
      <selection pane="bottomLeft" activeCell="D78" sqref="D78"/>
    </sheetView>
  </sheetViews>
  <sheetFormatPr defaultColWidth="9.00390625" defaultRowHeight="13.5"/>
  <cols>
    <col min="1" max="1" width="2.75390625" style="7" customWidth="1"/>
    <col min="2" max="2" width="21.625" style="7" customWidth="1"/>
    <col min="3" max="3" width="21.875" style="7" customWidth="1"/>
    <col min="4" max="4" width="6.375" style="8" customWidth="1"/>
    <col min="5" max="5" width="14.125" style="9" customWidth="1"/>
    <col min="6" max="6" width="11.375" style="7" customWidth="1"/>
    <col min="7" max="7" width="9.00390625" style="7" customWidth="1"/>
    <col min="8" max="8" width="8.375" style="7" customWidth="1"/>
    <col min="9" max="9" width="14.25390625" style="7" customWidth="1"/>
    <col min="10" max="10" width="12.25390625" style="7" customWidth="1"/>
    <col min="11" max="11" width="14.25390625" style="10" customWidth="1"/>
    <col min="12" max="12" width="14.00390625" style="7" customWidth="1"/>
    <col min="13" max="13" width="9.00390625" style="7" customWidth="1"/>
    <col min="14" max="14" width="8.375" style="7" customWidth="1"/>
    <col min="15" max="15" width="9.625" style="7" customWidth="1"/>
    <col min="16" max="16" width="3.50390625" style="7" customWidth="1"/>
    <col min="17" max="17" width="15.125" style="11" customWidth="1"/>
    <col min="18" max="18" width="14.375" style="12" customWidth="1"/>
    <col min="19" max="16384" width="9.00390625" style="12" customWidth="1"/>
  </cols>
  <sheetData>
    <row r="1" spans="1:18" ht="24" customHeight="1">
      <c r="A1" s="13" t="s">
        <v>0</v>
      </c>
      <c r="B1" s="13"/>
      <c r="C1" s="13"/>
      <c r="D1" s="13"/>
      <c r="E1" s="14"/>
      <c r="F1" s="13"/>
      <c r="G1" s="13"/>
      <c r="H1" s="13"/>
      <c r="I1" s="13"/>
      <c r="J1" s="13"/>
      <c r="K1" s="45"/>
      <c r="L1" s="13"/>
      <c r="M1" s="13"/>
      <c r="N1" s="13"/>
      <c r="O1" s="13"/>
      <c r="P1" s="13"/>
      <c r="Q1" s="45"/>
      <c r="R1" s="13"/>
    </row>
    <row r="2" spans="1:18" s="1" customFormat="1" ht="24" customHeight="1">
      <c r="A2" s="15" t="s">
        <v>1</v>
      </c>
      <c r="B2" s="15" t="s">
        <v>2</v>
      </c>
      <c r="C2" s="15"/>
      <c r="D2" s="15"/>
      <c r="E2" s="16"/>
      <c r="F2" s="15"/>
      <c r="G2" s="15"/>
      <c r="H2" s="15" t="s">
        <v>3</v>
      </c>
      <c r="I2" s="15"/>
      <c r="J2" s="15"/>
      <c r="K2" s="46"/>
      <c r="L2" s="15"/>
      <c r="M2" s="15"/>
      <c r="N2" s="15"/>
      <c r="O2" s="15"/>
      <c r="P2" s="15"/>
      <c r="Q2" s="66" t="s">
        <v>4</v>
      </c>
      <c r="R2" s="67" t="s">
        <v>5</v>
      </c>
    </row>
    <row r="3" spans="1:18" s="1" customFormat="1" ht="24" customHeight="1">
      <c r="A3" s="15"/>
      <c r="B3" s="15" t="s">
        <v>6</v>
      </c>
      <c r="C3" s="15" t="s">
        <v>7</v>
      </c>
      <c r="D3" s="17" t="s">
        <v>8</v>
      </c>
      <c r="E3" s="18" t="s">
        <v>9</v>
      </c>
      <c r="F3" s="19" t="s">
        <v>10</v>
      </c>
      <c r="G3" s="19" t="s">
        <v>11</v>
      </c>
      <c r="H3" s="19" t="s">
        <v>12</v>
      </c>
      <c r="I3" s="19"/>
      <c r="J3" s="19"/>
      <c r="K3" s="47" t="s">
        <v>13</v>
      </c>
      <c r="L3" s="19" t="s">
        <v>14</v>
      </c>
      <c r="M3" s="19"/>
      <c r="N3" s="15" t="s">
        <v>15</v>
      </c>
      <c r="O3" s="15" t="s">
        <v>16</v>
      </c>
      <c r="P3" s="15" t="s">
        <v>17</v>
      </c>
      <c r="Q3" s="68"/>
      <c r="R3" s="69"/>
    </row>
    <row r="4" spans="1:18" s="1" customFormat="1" ht="24" customHeight="1">
      <c r="A4" s="15"/>
      <c r="B4" s="15"/>
      <c r="C4" s="15"/>
      <c r="D4" s="17"/>
      <c r="E4" s="18"/>
      <c r="F4" s="19"/>
      <c r="G4" s="19"/>
      <c r="H4" s="19" t="s">
        <v>18</v>
      </c>
      <c r="I4" s="19" t="s">
        <v>6</v>
      </c>
      <c r="J4" s="19" t="s">
        <v>19</v>
      </c>
      <c r="K4" s="47"/>
      <c r="L4" s="19" t="s">
        <v>10</v>
      </c>
      <c r="M4" s="19" t="s">
        <v>11</v>
      </c>
      <c r="N4" s="15"/>
      <c r="O4" s="15"/>
      <c r="P4" s="15"/>
      <c r="Q4" s="70"/>
      <c r="R4" s="71"/>
    </row>
    <row r="5" spans="1:18" s="2" customFormat="1" ht="37.5" customHeight="1">
      <c r="A5" s="20">
        <v>1</v>
      </c>
      <c r="B5" s="21" t="s">
        <v>20</v>
      </c>
      <c r="C5" s="22" t="s">
        <v>21</v>
      </c>
      <c r="D5" s="23" t="s">
        <v>22</v>
      </c>
      <c r="E5" s="24">
        <v>11970000</v>
      </c>
      <c r="F5" s="25" t="s">
        <v>23</v>
      </c>
      <c r="G5" s="25">
        <v>21305</v>
      </c>
      <c r="H5" s="26">
        <v>1</v>
      </c>
      <c r="I5" s="26" t="s">
        <v>24</v>
      </c>
      <c r="J5" s="48" t="s">
        <v>25</v>
      </c>
      <c r="K5" s="49">
        <v>1470000</v>
      </c>
      <c r="L5" s="26" t="s">
        <v>24</v>
      </c>
      <c r="M5" s="26">
        <v>2130505</v>
      </c>
      <c r="N5" s="20"/>
      <c r="O5" s="50" t="s">
        <v>26</v>
      </c>
      <c r="P5" s="20"/>
      <c r="Q5" s="72">
        <v>1470000</v>
      </c>
      <c r="R5" s="73">
        <f>K5-Q5</f>
        <v>0</v>
      </c>
    </row>
    <row r="6" spans="1:18" s="2" customFormat="1" ht="37.5" customHeight="1">
      <c r="A6" s="20">
        <v>2</v>
      </c>
      <c r="B6" s="21" t="s">
        <v>20</v>
      </c>
      <c r="C6" s="22" t="s">
        <v>21</v>
      </c>
      <c r="D6" s="23" t="s">
        <v>22</v>
      </c>
      <c r="E6" s="27"/>
      <c r="F6" s="25" t="s">
        <v>23</v>
      </c>
      <c r="G6" s="25">
        <v>21305</v>
      </c>
      <c r="H6" s="26">
        <v>2</v>
      </c>
      <c r="I6" s="26" t="s">
        <v>27</v>
      </c>
      <c r="J6" s="48" t="s">
        <v>25</v>
      </c>
      <c r="K6" s="51">
        <v>2600000</v>
      </c>
      <c r="L6" s="26" t="s">
        <v>27</v>
      </c>
      <c r="M6" s="26">
        <v>2130505</v>
      </c>
      <c r="N6" s="20"/>
      <c r="O6" s="50" t="s">
        <v>28</v>
      </c>
      <c r="P6" s="20"/>
      <c r="Q6" s="72">
        <f>2199943+233094.25</f>
        <v>2433037.25</v>
      </c>
      <c r="R6" s="73">
        <f aca="true" t="shared" si="0" ref="R6:R21">K6-Q6</f>
        <v>166962.75</v>
      </c>
    </row>
    <row r="7" spans="1:18" s="2" customFormat="1" ht="37.5" customHeight="1">
      <c r="A7" s="20">
        <v>3</v>
      </c>
      <c r="B7" s="21" t="s">
        <v>20</v>
      </c>
      <c r="C7" s="22" t="s">
        <v>21</v>
      </c>
      <c r="D7" s="23" t="s">
        <v>22</v>
      </c>
      <c r="E7" s="27"/>
      <c r="F7" s="25" t="s">
        <v>23</v>
      </c>
      <c r="G7" s="25">
        <v>21305</v>
      </c>
      <c r="H7" s="26">
        <v>3</v>
      </c>
      <c r="I7" s="26" t="s">
        <v>29</v>
      </c>
      <c r="J7" s="48" t="s">
        <v>25</v>
      </c>
      <c r="K7" s="51">
        <v>620000</v>
      </c>
      <c r="L7" s="26" t="s">
        <v>29</v>
      </c>
      <c r="M7" s="26">
        <v>2130505</v>
      </c>
      <c r="N7" s="20"/>
      <c r="O7" s="50" t="s">
        <v>30</v>
      </c>
      <c r="P7" s="20"/>
      <c r="Q7" s="72">
        <f>150000+155563.11+183337.86+121537.2</f>
        <v>610438.1699999999</v>
      </c>
      <c r="R7" s="73">
        <f t="shared" si="0"/>
        <v>9561.830000000075</v>
      </c>
    </row>
    <row r="8" spans="1:18" s="2" customFormat="1" ht="37.5" customHeight="1">
      <c r="A8" s="20">
        <v>4</v>
      </c>
      <c r="B8" s="21" t="s">
        <v>20</v>
      </c>
      <c r="C8" s="22" t="s">
        <v>21</v>
      </c>
      <c r="D8" s="23" t="s">
        <v>22</v>
      </c>
      <c r="E8" s="27"/>
      <c r="F8" s="25" t="s">
        <v>23</v>
      </c>
      <c r="G8" s="25">
        <v>21305</v>
      </c>
      <c r="H8" s="26">
        <v>4</v>
      </c>
      <c r="I8" s="26" t="s">
        <v>31</v>
      </c>
      <c r="J8" s="48" t="s">
        <v>25</v>
      </c>
      <c r="K8" s="51">
        <v>950000</v>
      </c>
      <c r="L8" s="26" t="s">
        <v>31</v>
      </c>
      <c r="M8" s="26">
        <v>2130505</v>
      </c>
      <c r="N8" s="20"/>
      <c r="O8" s="50" t="s">
        <v>32</v>
      </c>
      <c r="P8" s="20"/>
      <c r="Q8" s="72">
        <v>925000</v>
      </c>
      <c r="R8" s="73">
        <f t="shared" si="0"/>
        <v>25000</v>
      </c>
    </row>
    <row r="9" spans="1:18" s="2" customFormat="1" ht="37.5" customHeight="1">
      <c r="A9" s="20">
        <v>5</v>
      </c>
      <c r="B9" s="21" t="s">
        <v>20</v>
      </c>
      <c r="C9" s="22" t="s">
        <v>21</v>
      </c>
      <c r="D9" s="23" t="s">
        <v>22</v>
      </c>
      <c r="E9" s="27"/>
      <c r="F9" s="25" t="s">
        <v>23</v>
      </c>
      <c r="G9" s="25">
        <v>21305</v>
      </c>
      <c r="H9" s="26">
        <v>5</v>
      </c>
      <c r="I9" s="26" t="s">
        <v>31</v>
      </c>
      <c r="J9" s="48" t="s">
        <v>25</v>
      </c>
      <c r="K9" s="51">
        <v>950000</v>
      </c>
      <c r="L9" s="26" t="s">
        <v>31</v>
      </c>
      <c r="M9" s="26">
        <v>2130505</v>
      </c>
      <c r="N9" s="20"/>
      <c r="O9" s="50" t="s">
        <v>32</v>
      </c>
      <c r="P9" s="20"/>
      <c r="Q9" s="72">
        <f>462500+462500</f>
        <v>925000</v>
      </c>
      <c r="R9" s="73">
        <f t="shared" si="0"/>
        <v>25000</v>
      </c>
    </row>
    <row r="10" spans="1:18" s="2" customFormat="1" ht="37.5" customHeight="1">
      <c r="A10" s="20">
        <v>6</v>
      </c>
      <c r="B10" s="21" t="s">
        <v>20</v>
      </c>
      <c r="C10" s="22" t="s">
        <v>21</v>
      </c>
      <c r="D10" s="23" t="s">
        <v>22</v>
      </c>
      <c r="E10" s="27"/>
      <c r="F10" s="25" t="s">
        <v>23</v>
      </c>
      <c r="G10" s="25">
        <v>21305</v>
      </c>
      <c r="H10" s="26">
        <v>6</v>
      </c>
      <c r="I10" s="26" t="s">
        <v>33</v>
      </c>
      <c r="J10" s="48" t="s">
        <v>25</v>
      </c>
      <c r="K10" s="51">
        <v>801000</v>
      </c>
      <c r="L10" s="26" t="s">
        <v>33</v>
      </c>
      <c r="M10" s="26">
        <v>2130505</v>
      </c>
      <c r="N10" s="20"/>
      <c r="O10" s="50" t="s">
        <v>34</v>
      </c>
      <c r="P10" s="20"/>
      <c r="Q10" s="72">
        <f>399500+399500</f>
        <v>799000</v>
      </c>
      <c r="R10" s="73">
        <f t="shared" si="0"/>
        <v>2000</v>
      </c>
    </row>
    <row r="11" spans="1:18" s="2" customFormat="1" ht="37.5" customHeight="1">
      <c r="A11" s="20">
        <v>7</v>
      </c>
      <c r="B11" s="21" t="s">
        <v>20</v>
      </c>
      <c r="C11" s="22" t="s">
        <v>21</v>
      </c>
      <c r="D11" s="23" t="s">
        <v>22</v>
      </c>
      <c r="E11" s="27"/>
      <c r="F11" s="25" t="s">
        <v>23</v>
      </c>
      <c r="G11" s="25">
        <v>21305</v>
      </c>
      <c r="H11" s="26">
        <v>7</v>
      </c>
      <c r="I11" s="26" t="s">
        <v>35</v>
      </c>
      <c r="J11" s="48" t="s">
        <v>36</v>
      </c>
      <c r="K11" s="51">
        <v>600000</v>
      </c>
      <c r="L11" s="26" t="s">
        <v>35</v>
      </c>
      <c r="M11" s="26">
        <v>2130504</v>
      </c>
      <c r="N11" s="20"/>
      <c r="O11" s="50" t="s">
        <v>37</v>
      </c>
      <c r="P11" s="20"/>
      <c r="Q11" s="72">
        <f>176765.17+294608.61+117843.44</f>
        <v>589217.22</v>
      </c>
      <c r="R11" s="73">
        <f t="shared" si="0"/>
        <v>10782.780000000028</v>
      </c>
    </row>
    <row r="12" spans="1:18" s="2" customFormat="1" ht="37.5" customHeight="1">
      <c r="A12" s="20">
        <v>8</v>
      </c>
      <c r="B12" s="21" t="s">
        <v>20</v>
      </c>
      <c r="C12" s="22" t="s">
        <v>21</v>
      </c>
      <c r="D12" s="23" t="s">
        <v>22</v>
      </c>
      <c r="E12" s="27"/>
      <c r="F12" s="25" t="s">
        <v>23</v>
      </c>
      <c r="G12" s="25">
        <v>21305</v>
      </c>
      <c r="H12" s="26">
        <v>8</v>
      </c>
      <c r="I12" s="26" t="s">
        <v>35</v>
      </c>
      <c r="J12" s="48" t="s">
        <v>36</v>
      </c>
      <c r="K12" s="51">
        <v>1700000</v>
      </c>
      <c r="L12" s="26" t="s">
        <v>35</v>
      </c>
      <c r="M12" s="26">
        <v>2130504</v>
      </c>
      <c r="N12" s="20"/>
      <c r="O12" s="50" t="s">
        <v>38</v>
      </c>
      <c r="P12" s="20"/>
      <c r="Q12" s="72">
        <f>1179742.77+505604.05</f>
        <v>1685346.82</v>
      </c>
      <c r="R12" s="73">
        <f t="shared" si="0"/>
        <v>14653.179999999935</v>
      </c>
    </row>
    <row r="13" spans="1:18" s="2" customFormat="1" ht="37.5" customHeight="1">
      <c r="A13" s="20">
        <v>9</v>
      </c>
      <c r="B13" s="21" t="s">
        <v>20</v>
      </c>
      <c r="C13" s="22" t="s">
        <v>21</v>
      </c>
      <c r="D13" s="23" t="s">
        <v>22</v>
      </c>
      <c r="E13" s="27"/>
      <c r="F13" s="25" t="s">
        <v>23</v>
      </c>
      <c r="G13" s="25">
        <v>21305</v>
      </c>
      <c r="H13" s="26">
        <v>9</v>
      </c>
      <c r="I13" s="26" t="s">
        <v>39</v>
      </c>
      <c r="J13" s="48" t="s">
        <v>36</v>
      </c>
      <c r="K13" s="51">
        <v>1785000</v>
      </c>
      <c r="L13" s="26" t="s">
        <v>39</v>
      </c>
      <c r="M13" s="26">
        <v>2130504</v>
      </c>
      <c r="N13" s="20"/>
      <c r="O13" s="50" t="s">
        <v>40</v>
      </c>
      <c r="P13" s="52" t="s">
        <v>41</v>
      </c>
      <c r="Q13" s="72">
        <f>1249103.53+534914.74</f>
        <v>1784018.27</v>
      </c>
      <c r="R13" s="73">
        <f t="shared" si="0"/>
        <v>981.7299999999814</v>
      </c>
    </row>
    <row r="14" spans="1:18" s="2" customFormat="1" ht="37.5" customHeight="1">
      <c r="A14" s="20">
        <v>10</v>
      </c>
      <c r="B14" s="21" t="s">
        <v>20</v>
      </c>
      <c r="C14" s="22" t="s">
        <v>21</v>
      </c>
      <c r="D14" s="23" t="s">
        <v>22</v>
      </c>
      <c r="E14" s="27"/>
      <c r="F14" s="25" t="s">
        <v>23</v>
      </c>
      <c r="G14" s="25">
        <v>21305</v>
      </c>
      <c r="H14" s="26">
        <v>10</v>
      </c>
      <c r="I14" s="26" t="s">
        <v>42</v>
      </c>
      <c r="J14" s="48" t="s">
        <v>36</v>
      </c>
      <c r="K14" s="51">
        <v>250000</v>
      </c>
      <c r="L14" s="26" t="s">
        <v>42</v>
      </c>
      <c r="M14" s="26">
        <v>2130504</v>
      </c>
      <c r="N14" s="20"/>
      <c r="O14" s="50" t="s">
        <v>30</v>
      </c>
      <c r="P14" s="20"/>
      <c r="Q14" s="72">
        <f>174790+74093.93</f>
        <v>248883.93</v>
      </c>
      <c r="R14" s="73">
        <f t="shared" si="0"/>
        <v>1116.070000000007</v>
      </c>
    </row>
    <row r="15" spans="1:18" s="2" customFormat="1" ht="37.5" customHeight="1">
      <c r="A15" s="20">
        <v>11</v>
      </c>
      <c r="B15" s="21" t="s">
        <v>20</v>
      </c>
      <c r="C15" s="22" t="s">
        <v>21</v>
      </c>
      <c r="D15" s="23" t="s">
        <v>22</v>
      </c>
      <c r="E15" s="27"/>
      <c r="F15" s="25" t="s">
        <v>23</v>
      </c>
      <c r="G15" s="25">
        <v>21305</v>
      </c>
      <c r="H15" s="26">
        <v>11</v>
      </c>
      <c r="I15" s="26" t="s">
        <v>43</v>
      </c>
      <c r="J15" s="48" t="s">
        <v>44</v>
      </c>
      <c r="K15" s="51">
        <v>106000</v>
      </c>
      <c r="L15" s="26" t="s">
        <v>43</v>
      </c>
      <c r="M15" s="26">
        <v>2130599</v>
      </c>
      <c r="N15" s="20"/>
      <c r="O15" s="50" t="s">
        <v>40</v>
      </c>
      <c r="P15" s="20"/>
      <c r="Q15" s="72">
        <f>5000+8000+5000+25000+5000+5000+20000+10000+10000+2000+10500</f>
        <v>105500</v>
      </c>
      <c r="R15" s="73">
        <f t="shared" si="0"/>
        <v>500</v>
      </c>
    </row>
    <row r="16" spans="1:18" s="3" customFormat="1" ht="37.5" customHeight="1">
      <c r="A16" s="20">
        <v>12</v>
      </c>
      <c r="B16" s="21" t="s">
        <v>20</v>
      </c>
      <c r="C16" s="22" t="s">
        <v>21</v>
      </c>
      <c r="D16" s="23" t="s">
        <v>22</v>
      </c>
      <c r="E16" s="27"/>
      <c r="F16" s="25" t="s">
        <v>23</v>
      </c>
      <c r="G16" s="25">
        <v>21305</v>
      </c>
      <c r="H16" s="26">
        <v>12</v>
      </c>
      <c r="I16" s="26" t="s">
        <v>45</v>
      </c>
      <c r="J16" s="48" t="s">
        <v>44</v>
      </c>
      <c r="K16" s="51">
        <v>40000</v>
      </c>
      <c r="L16" s="26" t="s">
        <v>45</v>
      </c>
      <c r="M16" s="26">
        <v>2130599</v>
      </c>
      <c r="N16" s="50"/>
      <c r="O16" s="50" t="s">
        <v>46</v>
      </c>
      <c r="P16" s="20"/>
      <c r="Q16" s="72">
        <f>19500+20500</f>
        <v>40000</v>
      </c>
      <c r="R16" s="73">
        <f t="shared" si="0"/>
        <v>0</v>
      </c>
    </row>
    <row r="17" spans="1:18" s="3" customFormat="1" ht="37.5" customHeight="1">
      <c r="A17" s="20">
        <v>13</v>
      </c>
      <c r="B17" s="21" t="s">
        <v>20</v>
      </c>
      <c r="C17" s="22" t="s">
        <v>21</v>
      </c>
      <c r="D17" s="23" t="s">
        <v>22</v>
      </c>
      <c r="E17" s="27"/>
      <c r="F17" s="25" t="s">
        <v>23</v>
      </c>
      <c r="G17" s="25">
        <v>21305</v>
      </c>
      <c r="H17" s="26">
        <v>13</v>
      </c>
      <c r="I17" s="26" t="s">
        <v>47</v>
      </c>
      <c r="J17" s="48" t="s">
        <v>44</v>
      </c>
      <c r="K17" s="51">
        <v>20000</v>
      </c>
      <c r="L17" s="26" t="s">
        <v>47</v>
      </c>
      <c r="M17" s="26">
        <v>2130599</v>
      </c>
      <c r="N17" s="20"/>
      <c r="O17" s="50" t="s">
        <v>46</v>
      </c>
      <c r="P17" s="20"/>
      <c r="Q17" s="72">
        <f>13000+500+500</f>
        <v>14000</v>
      </c>
      <c r="R17" s="73">
        <f t="shared" si="0"/>
        <v>6000</v>
      </c>
    </row>
    <row r="18" spans="1:18" s="4" customFormat="1" ht="37.5" customHeight="1">
      <c r="A18" s="20">
        <v>14</v>
      </c>
      <c r="B18" s="20" t="s">
        <v>20</v>
      </c>
      <c r="C18" s="22" t="s">
        <v>21</v>
      </c>
      <c r="D18" s="26" t="s">
        <v>22</v>
      </c>
      <c r="E18" s="28"/>
      <c r="F18" s="29" t="s">
        <v>23</v>
      </c>
      <c r="G18" s="29">
        <v>21305</v>
      </c>
      <c r="H18" s="26">
        <v>14</v>
      </c>
      <c r="I18" s="26" t="s">
        <v>48</v>
      </c>
      <c r="J18" s="48" t="s">
        <v>44</v>
      </c>
      <c r="K18" s="51">
        <v>10000</v>
      </c>
      <c r="L18" s="26" t="s">
        <v>48</v>
      </c>
      <c r="M18" s="26">
        <v>2130599</v>
      </c>
      <c r="N18" s="20"/>
      <c r="O18" s="50" t="s">
        <v>46</v>
      </c>
      <c r="P18" s="20"/>
      <c r="Q18" s="72">
        <v>8000</v>
      </c>
      <c r="R18" s="73">
        <f t="shared" si="0"/>
        <v>2000</v>
      </c>
    </row>
    <row r="19" spans="1:18" s="4" customFormat="1" ht="37.5" customHeight="1">
      <c r="A19" s="30">
        <v>15</v>
      </c>
      <c r="B19" s="20" t="s">
        <v>20</v>
      </c>
      <c r="C19" s="22" t="s">
        <v>21</v>
      </c>
      <c r="D19" s="26" t="s">
        <v>22</v>
      </c>
      <c r="E19" s="28"/>
      <c r="F19" s="29" t="s">
        <v>23</v>
      </c>
      <c r="G19" s="29">
        <v>21305</v>
      </c>
      <c r="H19" s="26">
        <v>15</v>
      </c>
      <c r="I19" s="53" t="s">
        <v>49</v>
      </c>
      <c r="J19" s="48" t="s">
        <v>36</v>
      </c>
      <c r="K19" s="51">
        <v>68000</v>
      </c>
      <c r="L19" s="53" t="s">
        <v>49</v>
      </c>
      <c r="M19" s="26">
        <v>2130504</v>
      </c>
      <c r="N19" s="20"/>
      <c r="O19" s="50" t="s">
        <v>37</v>
      </c>
      <c r="P19" s="20"/>
      <c r="Q19" s="72">
        <f>55000+13000</f>
        <v>68000</v>
      </c>
      <c r="R19" s="73">
        <f t="shared" si="0"/>
        <v>0</v>
      </c>
    </row>
    <row r="20" spans="1:18" s="5" customFormat="1" ht="37.5" customHeight="1">
      <c r="A20" s="31" t="s">
        <v>50</v>
      </c>
      <c r="B20" s="32"/>
      <c r="C20" s="33"/>
      <c r="D20" s="34"/>
      <c r="E20" s="35"/>
      <c r="F20" s="36"/>
      <c r="G20" s="36"/>
      <c r="H20" s="34"/>
      <c r="I20" s="34"/>
      <c r="J20" s="54"/>
      <c r="K20" s="55">
        <f>SUM(K5:K19)</f>
        <v>11970000</v>
      </c>
      <c r="L20" s="34"/>
      <c r="M20" s="34"/>
      <c r="N20" s="56"/>
      <c r="O20" s="57"/>
      <c r="P20" s="56"/>
      <c r="Q20" s="74">
        <f>SUM(Q5:Q19)</f>
        <v>11705441.659999998</v>
      </c>
      <c r="R20" s="73">
        <f t="shared" si="0"/>
        <v>264558.3400000017</v>
      </c>
    </row>
    <row r="21" spans="1:18" s="2" customFormat="1" ht="37.5" customHeight="1">
      <c r="A21" s="20">
        <v>1</v>
      </c>
      <c r="B21" s="20" t="s">
        <v>51</v>
      </c>
      <c r="C21" s="37" t="s">
        <v>52</v>
      </c>
      <c r="D21" s="23" t="s">
        <v>22</v>
      </c>
      <c r="E21" s="24">
        <v>7210000</v>
      </c>
      <c r="F21" s="25" t="s">
        <v>23</v>
      </c>
      <c r="G21" s="25">
        <v>21305</v>
      </c>
      <c r="H21" s="26">
        <v>1</v>
      </c>
      <c r="I21" s="26" t="s">
        <v>24</v>
      </c>
      <c r="J21" s="48" t="s">
        <v>25</v>
      </c>
      <c r="K21" s="51">
        <v>2813000</v>
      </c>
      <c r="L21" s="26" t="s">
        <v>24</v>
      </c>
      <c r="M21" s="26">
        <v>2130505</v>
      </c>
      <c r="N21" s="20"/>
      <c r="O21" s="50" t="s">
        <v>26</v>
      </c>
      <c r="P21" s="58"/>
      <c r="Q21" s="72">
        <f>193000+984000+1636000</f>
        <v>2813000</v>
      </c>
      <c r="R21" s="73">
        <f t="shared" si="0"/>
        <v>0</v>
      </c>
    </row>
    <row r="22" spans="1:18" s="2" customFormat="1" ht="37.5" customHeight="1">
      <c r="A22" s="20">
        <v>2</v>
      </c>
      <c r="B22" s="20" t="s">
        <v>51</v>
      </c>
      <c r="C22" s="37" t="s">
        <v>52</v>
      </c>
      <c r="D22" s="23" t="s">
        <v>22</v>
      </c>
      <c r="E22" s="27"/>
      <c r="F22" s="25" t="s">
        <v>23</v>
      </c>
      <c r="G22" s="25">
        <v>21305</v>
      </c>
      <c r="H22" s="26">
        <v>2</v>
      </c>
      <c r="I22" s="26" t="s">
        <v>53</v>
      </c>
      <c r="J22" s="48" t="s">
        <v>25</v>
      </c>
      <c r="K22" s="51">
        <v>1620000</v>
      </c>
      <c r="L22" s="26" t="s">
        <v>53</v>
      </c>
      <c r="M22" s="26">
        <v>2130505</v>
      </c>
      <c r="N22" s="20"/>
      <c r="O22" s="50" t="s">
        <v>37</v>
      </c>
      <c r="P22" s="58"/>
      <c r="Q22" s="72">
        <f>485553+809254+219925.64</f>
        <v>1514732.6400000001</v>
      </c>
      <c r="R22" s="73">
        <f aca="true" t="shared" si="1" ref="R22:R30">K22-Q22</f>
        <v>105267.35999999987</v>
      </c>
    </row>
    <row r="23" spans="1:18" s="2" customFormat="1" ht="37.5" customHeight="1">
      <c r="A23" s="20">
        <v>3</v>
      </c>
      <c r="B23" s="20" t="s">
        <v>51</v>
      </c>
      <c r="C23" s="37" t="s">
        <v>52</v>
      </c>
      <c r="D23" s="23" t="s">
        <v>22</v>
      </c>
      <c r="E23" s="27"/>
      <c r="F23" s="25" t="s">
        <v>23</v>
      </c>
      <c r="G23" s="25">
        <v>21305</v>
      </c>
      <c r="H23" s="26">
        <v>3</v>
      </c>
      <c r="I23" s="26" t="s">
        <v>35</v>
      </c>
      <c r="J23" s="48" t="s">
        <v>36</v>
      </c>
      <c r="K23" s="51">
        <v>865000</v>
      </c>
      <c r="L23" s="26" t="s">
        <v>35</v>
      </c>
      <c r="M23" s="26">
        <v>2130504</v>
      </c>
      <c r="N23" s="20"/>
      <c r="O23" s="50" t="s">
        <v>32</v>
      </c>
      <c r="P23" s="58"/>
      <c r="Q23" s="72">
        <f>432070.83+259242.5+168705.66</f>
        <v>860018.9900000001</v>
      </c>
      <c r="R23" s="75">
        <f t="shared" si="1"/>
        <v>4981.009999999893</v>
      </c>
    </row>
    <row r="24" spans="1:18" s="2" customFormat="1" ht="37.5" customHeight="1">
      <c r="A24" s="20">
        <v>4</v>
      </c>
      <c r="B24" s="20" t="s">
        <v>51</v>
      </c>
      <c r="C24" s="37" t="s">
        <v>52</v>
      </c>
      <c r="D24" s="23" t="s">
        <v>22</v>
      </c>
      <c r="E24" s="27"/>
      <c r="F24" s="25" t="s">
        <v>23</v>
      </c>
      <c r="G24" s="25">
        <v>21305</v>
      </c>
      <c r="H24" s="26">
        <v>4</v>
      </c>
      <c r="I24" s="26" t="s">
        <v>54</v>
      </c>
      <c r="J24" s="48" t="s">
        <v>36</v>
      </c>
      <c r="K24" s="51">
        <v>1160000</v>
      </c>
      <c r="L24" s="26" t="s">
        <v>54</v>
      </c>
      <c r="M24" s="26">
        <v>2130504</v>
      </c>
      <c r="N24" s="50"/>
      <c r="O24" s="50" t="s">
        <v>32</v>
      </c>
      <c r="P24" s="20"/>
      <c r="Q24" s="72">
        <f>580000+348000+232000</f>
        <v>1160000</v>
      </c>
      <c r="R24" s="73">
        <f t="shared" si="1"/>
        <v>0</v>
      </c>
    </row>
    <row r="25" spans="1:18" s="2" customFormat="1" ht="37.5" customHeight="1">
      <c r="A25" s="20">
        <v>5</v>
      </c>
      <c r="B25" s="20" t="s">
        <v>51</v>
      </c>
      <c r="C25" s="37" t="s">
        <v>52</v>
      </c>
      <c r="D25" s="23" t="s">
        <v>22</v>
      </c>
      <c r="E25" s="27"/>
      <c r="F25" s="25" t="s">
        <v>23</v>
      </c>
      <c r="G25" s="25">
        <v>21305</v>
      </c>
      <c r="H25" s="26">
        <v>5</v>
      </c>
      <c r="I25" s="26" t="s">
        <v>55</v>
      </c>
      <c r="J25" s="48" t="s">
        <v>36</v>
      </c>
      <c r="K25" s="51">
        <v>500000</v>
      </c>
      <c r="L25" s="26" t="s">
        <v>55</v>
      </c>
      <c r="M25" s="26">
        <v>2130504</v>
      </c>
      <c r="N25" s="50"/>
      <c r="O25" s="50" t="s">
        <v>34</v>
      </c>
      <c r="P25" s="58"/>
      <c r="Q25" s="72">
        <f>250000+150000+50000+47944.19</f>
        <v>497944.19</v>
      </c>
      <c r="R25" s="73">
        <f t="shared" si="1"/>
        <v>2055.8099999999977</v>
      </c>
    </row>
    <row r="26" spans="1:18" s="2" customFormat="1" ht="37.5" customHeight="1">
      <c r="A26" s="20">
        <v>6</v>
      </c>
      <c r="B26" s="20" t="s">
        <v>51</v>
      </c>
      <c r="C26" s="37" t="s">
        <v>52</v>
      </c>
      <c r="D26" s="23" t="s">
        <v>22</v>
      </c>
      <c r="E26" s="27"/>
      <c r="F26" s="25" t="s">
        <v>23</v>
      </c>
      <c r="G26" s="25">
        <v>21305</v>
      </c>
      <c r="H26" s="26">
        <v>6</v>
      </c>
      <c r="I26" s="26" t="s">
        <v>56</v>
      </c>
      <c r="J26" s="48" t="s">
        <v>36</v>
      </c>
      <c r="K26" s="51">
        <v>100000</v>
      </c>
      <c r="L26" s="26" t="s">
        <v>56</v>
      </c>
      <c r="M26" s="26">
        <v>2130504</v>
      </c>
      <c r="N26" s="20"/>
      <c r="O26" s="50" t="s">
        <v>32</v>
      </c>
      <c r="P26" s="58"/>
      <c r="Q26" s="72">
        <v>98000</v>
      </c>
      <c r="R26" s="75">
        <f t="shared" si="1"/>
        <v>2000</v>
      </c>
    </row>
    <row r="27" spans="1:18" s="2" customFormat="1" ht="37.5" customHeight="1">
      <c r="A27" s="20">
        <v>7</v>
      </c>
      <c r="B27" s="20" t="s">
        <v>51</v>
      </c>
      <c r="C27" s="37" t="s">
        <v>52</v>
      </c>
      <c r="D27" s="23" t="s">
        <v>22</v>
      </c>
      <c r="E27" s="38"/>
      <c r="F27" s="25" t="s">
        <v>23</v>
      </c>
      <c r="G27" s="25">
        <v>21305</v>
      </c>
      <c r="H27" s="26">
        <v>7</v>
      </c>
      <c r="I27" s="26" t="s">
        <v>43</v>
      </c>
      <c r="J27" s="48" t="s">
        <v>44</v>
      </c>
      <c r="K27" s="51">
        <v>7000</v>
      </c>
      <c r="L27" s="26" t="s">
        <v>43</v>
      </c>
      <c r="M27" s="26">
        <v>2130599</v>
      </c>
      <c r="N27" s="20"/>
      <c r="O27" s="50" t="s">
        <v>40</v>
      </c>
      <c r="P27" s="58"/>
      <c r="Q27" s="72">
        <v>7000</v>
      </c>
      <c r="R27" s="73">
        <f t="shared" si="1"/>
        <v>0</v>
      </c>
    </row>
    <row r="28" spans="1:18" s="2" customFormat="1" ht="37.5" customHeight="1">
      <c r="A28" s="30">
        <v>8</v>
      </c>
      <c r="B28" s="20" t="s">
        <v>51</v>
      </c>
      <c r="C28" s="37" t="s">
        <v>52</v>
      </c>
      <c r="D28" s="23" t="s">
        <v>22</v>
      </c>
      <c r="E28" s="38"/>
      <c r="F28" s="25" t="s">
        <v>23</v>
      </c>
      <c r="G28" s="25">
        <v>21305</v>
      </c>
      <c r="H28" s="26">
        <v>8</v>
      </c>
      <c r="I28" s="26" t="s">
        <v>57</v>
      </c>
      <c r="J28" s="48" t="s">
        <v>36</v>
      </c>
      <c r="K28" s="51">
        <v>145000</v>
      </c>
      <c r="L28" s="26" t="s">
        <v>57</v>
      </c>
      <c r="M28" s="26">
        <v>2130504</v>
      </c>
      <c r="N28" s="20"/>
      <c r="O28" s="50" t="s">
        <v>32</v>
      </c>
      <c r="P28" s="58"/>
      <c r="Q28" s="72">
        <f>130000+15000</f>
        <v>145000</v>
      </c>
      <c r="R28" s="73">
        <f t="shared" si="1"/>
        <v>0</v>
      </c>
    </row>
    <row r="29" spans="1:18" s="5" customFormat="1" ht="37.5" customHeight="1">
      <c r="A29" s="31" t="s">
        <v>50</v>
      </c>
      <c r="B29" s="32"/>
      <c r="C29" s="39"/>
      <c r="D29" s="34"/>
      <c r="E29" s="35"/>
      <c r="F29" s="36"/>
      <c r="G29" s="36"/>
      <c r="H29" s="34"/>
      <c r="I29" s="34"/>
      <c r="J29" s="34"/>
      <c r="K29" s="55">
        <f>SUM(K21:K28)</f>
        <v>7210000</v>
      </c>
      <c r="L29" s="34"/>
      <c r="M29" s="34"/>
      <c r="N29" s="56"/>
      <c r="O29" s="59"/>
      <c r="P29" s="60"/>
      <c r="Q29" s="74">
        <f>SUM(Q21:Q28)</f>
        <v>7095695.820000001</v>
      </c>
      <c r="R29" s="73">
        <f t="shared" si="1"/>
        <v>114304.17999999877</v>
      </c>
    </row>
    <row r="30" spans="1:18" s="2" customFormat="1" ht="37.5" customHeight="1">
      <c r="A30" s="20">
        <v>1</v>
      </c>
      <c r="B30" s="20" t="s">
        <v>58</v>
      </c>
      <c r="C30" s="37" t="s">
        <v>59</v>
      </c>
      <c r="D30" s="23" t="s">
        <v>60</v>
      </c>
      <c r="E30" s="24">
        <v>11150000</v>
      </c>
      <c r="F30" s="25" t="s">
        <v>23</v>
      </c>
      <c r="G30" s="25">
        <v>21305</v>
      </c>
      <c r="H30" s="26">
        <v>1</v>
      </c>
      <c r="I30" s="26" t="s">
        <v>24</v>
      </c>
      <c r="J30" s="48" t="s">
        <v>25</v>
      </c>
      <c r="K30" s="51">
        <v>3897000</v>
      </c>
      <c r="L30" s="26" t="s">
        <v>24</v>
      </c>
      <c r="M30" s="26">
        <v>2130505</v>
      </c>
      <c r="N30" s="20"/>
      <c r="O30" s="50" t="s">
        <v>26</v>
      </c>
      <c r="P30" s="58"/>
      <c r="Q30" s="72">
        <v>3897000</v>
      </c>
      <c r="R30" s="73">
        <f t="shared" si="1"/>
        <v>0</v>
      </c>
    </row>
    <row r="31" spans="1:18" s="2" customFormat="1" ht="37.5" customHeight="1">
      <c r="A31" s="20">
        <v>2</v>
      </c>
      <c r="B31" s="20" t="s">
        <v>58</v>
      </c>
      <c r="C31" s="37" t="s">
        <v>59</v>
      </c>
      <c r="D31" s="23" t="s">
        <v>60</v>
      </c>
      <c r="E31" s="27"/>
      <c r="F31" s="25" t="s">
        <v>23</v>
      </c>
      <c r="G31" s="25">
        <v>21305</v>
      </c>
      <c r="H31" s="26">
        <v>2</v>
      </c>
      <c r="I31" s="26" t="s">
        <v>31</v>
      </c>
      <c r="J31" s="48" t="s">
        <v>25</v>
      </c>
      <c r="K31" s="51">
        <v>400000</v>
      </c>
      <c r="L31" s="26" t="s">
        <v>31</v>
      </c>
      <c r="M31" s="26">
        <v>2130505</v>
      </c>
      <c r="N31" s="20"/>
      <c r="O31" s="50" t="s">
        <v>30</v>
      </c>
      <c r="P31" s="58"/>
      <c r="Q31" s="72">
        <f>119490+278810</f>
        <v>398300</v>
      </c>
      <c r="R31" s="73">
        <f aca="true" t="shared" si="2" ref="R31:R49">K31-Q31</f>
        <v>1700</v>
      </c>
    </row>
    <row r="32" spans="1:18" s="2" customFormat="1" ht="37.5" customHeight="1">
      <c r="A32" s="20">
        <v>3</v>
      </c>
      <c r="B32" s="20" t="s">
        <v>58</v>
      </c>
      <c r="C32" s="37" t="s">
        <v>59</v>
      </c>
      <c r="D32" s="23" t="s">
        <v>60</v>
      </c>
      <c r="E32" s="27"/>
      <c r="F32" s="25" t="s">
        <v>23</v>
      </c>
      <c r="G32" s="25">
        <v>21305</v>
      </c>
      <c r="H32" s="26">
        <v>3</v>
      </c>
      <c r="I32" s="26" t="s">
        <v>53</v>
      </c>
      <c r="J32" s="48" t="s">
        <v>25</v>
      </c>
      <c r="K32" s="51">
        <v>1620000</v>
      </c>
      <c r="L32" s="26" t="s">
        <v>53</v>
      </c>
      <c r="M32" s="26">
        <v>2130505</v>
      </c>
      <c r="N32" s="20"/>
      <c r="O32" s="50" t="s">
        <v>37</v>
      </c>
      <c r="P32" s="20"/>
      <c r="Q32" s="72">
        <f>485120+808533+215090.95</f>
        <v>1508743.95</v>
      </c>
      <c r="R32" s="73">
        <f t="shared" si="2"/>
        <v>111256.05000000005</v>
      </c>
    </row>
    <row r="33" spans="1:18" s="2" customFormat="1" ht="37.5" customHeight="1">
      <c r="A33" s="20">
        <v>4</v>
      </c>
      <c r="B33" s="20" t="s">
        <v>58</v>
      </c>
      <c r="C33" s="37" t="s">
        <v>59</v>
      </c>
      <c r="D33" s="23" t="s">
        <v>60</v>
      </c>
      <c r="E33" s="27"/>
      <c r="F33" s="25" t="s">
        <v>23</v>
      </c>
      <c r="G33" s="25">
        <v>21305</v>
      </c>
      <c r="H33" s="26">
        <v>4</v>
      </c>
      <c r="I33" s="26" t="s">
        <v>61</v>
      </c>
      <c r="J33" s="48" t="s">
        <v>25</v>
      </c>
      <c r="K33" s="51">
        <v>299822</v>
      </c>
      <c r="L33" s="26" t="s">
        <v>61</v>
      </c>
      <c r="M33" s="26">
        <v>2130505</v>
      </c>
      <c r="N33" s="20"/>
      <c r="O33" s="50" t="s">
        <v>40</v>
      </c>
      <c r="P33" s="58"/>
      <c r="Q33" s="72">
        <f>196700.01+83149.99</f>
        <v>279850</v>
      </c>
      <c r="R33" s="73">
        <f t="shared" si="2"/>
        <v>19972</v>
      </c>
    </row>
    <row r="34" spans="1:18" s="2" customFormat="1" ht="37.5" customHeight="1">
      <c r="A34" s="20">
        <v>5</v>
      </c>
      <c r="B34" s="20" t="s">
        <v>58</v>
      </c>
      <c r="C34" s="37" t="s">
        <v>59</v>
      </c>
      <c r="D34" s="23" t="s">
        <v>60</v>
      </c>
      <c r="E34" s="27"/>
      <c r="F34" s="25" t="s">
        <v>23</v>
      </c>
      <c r="G34" s="25">
        <v>21305</v>
      </c>
      <c r="H34" s="26">
        <v>5</v>
      </c>
      <c r="I34" s="26" t="s">
        <v>29</v>
      </c>
      <c r="J34" s="48" t="s">
        <v>25</v>
      </c>
      <c r="K34" s="51">
        <v>793000</v>
      </c>
      <c r="L34" s="26" t="s">
        <v>29</v>
      </c>
      <c r="M34" s="26">
        <v>2130505</v>
      </c>
      <c r="N34" s="20"/>
      <c r="O34" s="50" t="s">
        <v>30</v>
      </c>
      <c r="P34" s="58"/>
      <c r="Q34" s="72">
        <f>292956.88+100788.31+239247.11+154061.07</f>
        <v>787053.3700000001</v>
      </c>
      <c r="R34" s="73">
        <f t="shared" si="2"/>
        <v>5946.629999999888</v>
      </c>
    </row>
    <row r="35" spans="1:18" s="6" customFormat="1" ht="37.5" customHeight="1">
      <c r="A35" s="20">
        <v>6</v>
      </c>
      <c r="B35" s="20" t="s">
        <v>58</v>
      </c>
      <c r="C35" s="37" t="s">
        <v>59</v>
      </c>
      <c r="D35" s="23" t="s">
        <v>60</v>
      </c>
      <c r="E35" s="27"/>
      <c r="F35" s="25" t="s">
        <v>23</v>
      </c>
      <c r="G35" s="25">
        <v>21305</v>
      </c>
      <c r="H35" s="26">
        <v>6</v>
      </c>
      <c r="I35" s="26" t="s">
        <v>35</v>
      </c>
      <c r="J35" s="48" t="s">
        <v>36</v>
      </c>
      <c r="K35" s="51">
        <v>840000</v>
      </c>
      <c r="L35" s="26" t="s">
        <v>35</v>
      </c>
      <c r="M35" s="26">
        <v>2130504</v>
      </c>
      <c r="N35" s="20"/>
      <c r="O35" s="50" t="s">
        <v>62</v>
      </c>
      <c r="P35" s="20"/>
      <c r="Q35" s="76">
        <f>412209.88+164884+244737.88</f>
        <v>821831.76</v>
      </c>
      <c r="R35" s="73">
        <f t="shared" si="2"/>
        <v>18168.23999999999</v>
      </c>
    </row>
    <row r="36" spans="1:18" s="6" customFormat="1" ht="37.5" customHeight="1">
      <c r="A36" s="20">
        <v>7</v>
      </c>
      <c r="B36" s="20" t="s">
        <v>58</v>
      </c>
      <c r="C36" s="37" t="s">
        <v>59</v>
      </c>
      <c r="D36" s="23" t="s">
        <v>60</v>
      </c>
      <c r="E36" s="27"/>
      <c r="F36" s="25" t="s">
        <v>23</v>
      </c>
      <c r="G36" s="25">
        <v>21305</v>
      </c>
      <c r="H36" s="26">
        <v>7</v>
      </c>
      <c r="I36" s="26" t="s">
        <v>63</v>
      </c>
      <c r="J36" s="48" t="s">
        <v>36</v>
      </c>
      <c r="K36" s="51">
        <v>132000</v>
      </c>
      <c r="L36" s="26" t="s">
        <v>63</v>
      </c>
      <c r="M36" s="26">
        <v>2130504</v>
      </c>
      <c r="N36" s="20"/>
      <c r="O36" s="50" t="s">
        <v>32</v>
      </c>
      <c r="P36" s="20"/>
      <c r="Q36" s="76">
        <f>66000+39600+24198.44</f>
        <v>129798.44</v>
      </c>
      <c r="R36" s="75">
        <f t="shared" si="2"/>
        <v>2201.5599999999977</v>
      </c>
    </row>
    <row r="37" spans="1:18" s="4" customFormat="1" ht="37.5" customHeight="1">
      <c r="A37" s="20">
        <v>8</v>
      </c>
      <c r="B37" s="20" t="s">
        <v>58</v>
      </c>
      <c r="C37" s="37" t="s">
        <v>59</v>
      </c>
      <c r="D37" s="23" t="s">
        <v>60</v>
      </c>
      <c r="E37" s="27"/>
      <c r="F37" s="25" t="s">
        <v>23</v>
      </c>
      <c r="G37" s="25">
        <v>21305</v>
      </c>
      <c r="H37" s="26">
        <v>8</v>
      </c>
      <c r="I37" s="26" t="s">
        <v>64</v>
      </c>
      <c r="J37" s="48" t="s">
        <v>36</v>
      </c>
      <c r="K37" s="51">
        <v>510000</v>
      </c>
      <c r="L37" s="26" t="s">
        <v>64</v>
      </c>
      <c r="M37" s="26">
        <v>2130504</v>
      </c>
      <c r="N37" s="20"/>
      <c r="O37" s="50" t="s">
        <v>38</v>
      </c>
      <c r="P37" s="20"/>
      <c r="Q37" s="76">
        <f>351365+122592.51</f>
        <v>473957.51</v>
      </c>
      <c r="R37" s="73">
        <f t="shared" si="2"/>
        <v>36042.48999999999</v>
      </c>
    </row>
    <row r="38" spans="1:18" s="4" customFormat="1" ht="37.5" customHeight="1">
      <c r="A38" s="20">
        <v>9</v>
      </c>
      <c r="B38" s="20" t="s">
        <v>58</v>
      </c>
      <c r="C38" s="37" t="s">
        <v>59</v>
      </c>
      <c r="D38" s="23" t="s">
        <v>60</v>
      </c>
      <c r="E38" s="27"/>
      <c r="F38" s="25" t="s">
        <v>23</v>
      </c>
      <c r="G38" s="25">
        <v>21305</v>
      </c>
      <c r="H38" s="26">
        <v>9</v>
      </c>
      <c r="I38" s="61" t="s">
        <v>65</v>
      </c>
      <c r="J38" s="48" t="s">
        <v>36</v>
      </c>
      <c r="K38" s="51">
        <v>1358178</v>
      </c>
      <c r="L38" s="61" t="s">
        <v>65</v>
      </c>
      <c r="M38" s="26">
        <v>2130504</v>
      </c>
      <c r="N38" s="20"/>
      <c r="O38" s="50" t="s">
        <v>40</v>
      </c>
      <c r="P38" s="20"/>
      <c r="Q38" s="76">
        <f>950724.6+406415.58</f>
        <v>1357140.18</v>
      </c>
      <c r="R38" s="73">
        <f t="shared" si="2"/>
        <v>1037.8200000000652</v>
      </c>
    </row>
    <row r="39" spans="1:18" s="4" customFormat="1" ht="37.5" customHeight="1">
      <c r="A39" s="20">
        <v>10</v>
      </c>
      <c r="B39" s="20" t="s">
        <v>58</v>
      </c>
      <c r="C39" s="37" t="s">
        <v>59</v>
      </c>
      <c r="D39" s="23" t="s">
        <v>60</v>
      </c>
      <c r="E39" s="27"/>
      <c r="F39" s="25" t="s">
        <v>23</v>
      </c>
      <c r="G39" s="25">
        <v>21305</v>
      </c>
      <c r="H39" s="26">
        <v>10</v>
      </c>
      <c r="I39" s="61" t="s">
        <v>66</v>
      </c>
      <c r="J39" s="48" t="s">
        <v>36</v>
      </c>
      <c r="K39" s="51">
        <v>1000000</v>
      </c>
      <c r="L39" s="61" t="s">
        <v>66</v>
      </c>
      <c r="M39" s="26">
        <v>2130504</v>
      </c>
      <c r="N39" s="20"/>
      <c r="O39" s="50" t="s">
        <v>38</v>
      </c>
      <c r="P39" s="20"/>
      <c r="Q39" s="76">
        <f>693042.3+297018.14</f>
        <v>990060.4400000001</v>
      </c>
      <c r="R39" s="73">
        <f t="shared" si="2"/>
        <v>9939.55999999994</v>
      </c>
    </row>
    <row r="40" spans="1:18" s="6" customFormat="1" ht="37.5" customHeight="1">
      <c r="A40" s="20">
        <v>11</v>
      </c>
      <c r="B40" s="20" t="s">
        <v>58</v>
      </c>
      <c r="C40" s="37" t="s">
        <v>59</v>
      </c>
      <c r="D40" s="23" t="s">
        <v>60</v>
      </c>
      <c r="E40" s="27"/>
      <c r="F40" s="25" t="s">
        <v>23</v>
      </c>
      <c r="G40" s="25">
        <v>21305</v>
      </c>
      <c r="H40" s="26">
        <v>11</v>
      </c>
      <c r="I40" s="26" t="s">
        <v>67</v>
      </c>
      <c r="J40" s="48" t="s">
        <v>36</v>
      </c>
      <c r="K40" s="51">
        <v>100000</v>
      </c>
      <c r="L40" s="26" t="s">
        <v>67</v>
      </c>
      <c r="M40" s="26">
        <v>2130504</v>
      </c>
      <c r="N40" s="20"/>
      <c r="O40" s="50" t="s">
        <v>34</v>
      </c>
      <c r="P40" s="20"/>
      <c r="Q40" s="76">
        <f>50000+30000+19650</f>
        <v>99650</v>
      </c>
      <c r="R40" s="73">
        <f t="shared" si="2"/>
        <v>350</v>
      </c>
    </row>
    <row r="41" spans="1:18" s="4" customFormat="1" ht="37.5" customHeight="1">
      <c r="A41" s="20">
        <v>12</v>
      </c>
      <c r="B41" s="20" t="s">
        <v>58</v>
      </c>
      <c r="C41" s="37" t="s">
        <v>59</v>
      </c>
      <c r="D41" s="23" t="s">
        <v>60</v>
      </c>
      <c r="E41" s="27"/>
      <c r="F41" s="25" t="s">
        <v>23</v>
      </c>
      <c r="G41" s="25">
        <v>21305</v>
      </c>
      <c r="H41" s="26">
        <v>12</v>
      </c>
      <c r="I41" s="26" t="s">
        <v>56</v>
      </c>
      <c r="J41" s="48" t="s">
        <v>36</v>
      </c>
      <c r="K41" s="51">
        <v>48000</v>
      </c>
      <c r="L41" s="26" t="s">
        <v>56</v>
      </c>
      <c r="M41" s="26">
        <v>2130504</v>
      </c>
      <c r="N41" s="20"/>
      <c r="O41" s="50" t="s">
        <v>32</v>
      </c>
      <c r="P41" s="20"/>
      <c r="Q41" s="76">
        <v>46560</v>
      </c>
      <c r="R41" s="75">
        <f t="shared" si="2"/>
        <v>1440</v>
      </c>
    </row>
    <row r="42" spans="1:18" s="4" customFormat="1" ht="37.5" customHeight="1">
      <c r="A42" s="20">
        <v>13</v>
      </c>
      <c r="B42" s="20" t="s">
        <v>58</v>
      </c>
      <c r="C42" s="37" t="s">
        <v>59</v>
      </c>
      <c r="D42" s="23" t="s">
        <v>60</v>
      </c>
      <c r="E42" s="38"/>
      <c r="F42" s="25" t="s">
        <v>23</v>
      </c>
      <c r="G42" s="25">
        <v>21305</v>
      </c>
      <c r="H42" s="26">
        <v>13</v>
      </c>
      <c r="I42" s="61" t="s">
        <v>43</v>
      </c>
      <c r="J42" s="48" t="s">
        <v>44</v>
      </c>
      <c r="K42" s="51">
        <v>82000</v>
      </c>
      <c r="L42" s="61" t="s">
        <v>43</v>
      </c>
      <c r="M42" s="26">
        <v>2130599</v>
      </c>
      <c r="N42" s="20"/>
      <c r="O42" s="50" t="s">
        <v>32</v>
      </c>
      <c r="P42" s="20"/>
      <c r="Q42" s="76">
        <f>58200+23300</f>
        <v>81500</v>
      </c>
      <c r="R42" s="75">
        <f t="shared" si="2"/>
        <v>500</v>
      </c>
    </row>
    <row r="43" spans="1:18" s="4" customFormat="1" ht="37.5" customHeight="1">
      <c r="A43" s="30">
        <v>14</v>
      </c>
      <c r="B43" s="20" t="s">
        <v>58</v>
      </c>
      <c r="C43" s="37" t="s">
        <v>59</v>
      </c>
      <c r="D43" s="23" t="s">
        <v>60</v>
      </c>
      <c r="E43" s="38"/>
      <c r="F43" s="25" t="s">
        <v>23</v>
      </c>
      <c r="G43" s="25">
        <v>21305</v>
      </c>
      <c r="H43" s="26">
        <v>14</v>
      </c>
      <c r="I43" s="26" t="s">
        <v>57</v>
      </c>
      <c r="J43" s="48" t="s">
        <v>36</v>
      </c>
      <c r="K43" s="62">
        <v>15000</v>
      </c>
      <c r="L43" s="26" t="s">
        <v>57</v>
      </c>
      <c r="M43" s="26">
        <v>2130504</v>
      </c>
      <c r="N43" s="20"/>
      <c r="O43" s="50" t="s">
        <v>32</v>
      </c>
      <c r="P43" s="20"/>
      <c r="Q43" s="76">
        <v>15000</v>
      </c>
      <c r="R43" s="73">
        <f t="shared" si="2"/>
        <v>0</v>
      </c>
    </row>
    <row r="44" spans="1:18" s="4" customFormat="1" ht="37.5" customHeight="1">
      <c r="A44" s="30">
        <v>15</v>
      </c>
      <c r="B44" s="20" t="s">
        <v>58</v>
      </c>
      <c r="C44" s="37" t="s">
        <v>59</v>
      </c>
      <c r="D44" s="23" t="s">
        <v>60</v>
      </c>
      <c r="E44" s="38"/>
      <c r="F44" s="25" t="s">
        <v>23</v>
      </c>
      <c r="G44" s="25">
        <v>21305</v>
      </c>
      <c r="H44" s="26">
        <v>15</v>
      </c>
      <c r="I44" s="53" t="s">
        <v>49</v>
      </c>
      <c r="J44" s="48" t="s">
        <v>36</v>
      </c>
      <c r="K44" s="62">
        <v>55000</v>
      </c>
      <c r="L44" s="53" t="s">
        <v>49</v>
      </c>
      <c r="M44" s="26">
        <v>2130504</v>
      </c>
      <c r="N44" s="20"/>
      <c r="O44" s="50" t="s">
        <v>37</v>
      </c>
      <c r="P44" s="20"/>
      <c r="Q44" s="76">
        <f>41822+178+13000</f>
        <v>55000</v>
      </c>
      <c r="R44" s="73">
        <f t="shared" si="2"/>
        <v>0</v>
      </c>
    </row>
    <row r="45" spans="1:18" s="6" customFormat="1" ht="37.5" customHeight="1">
      <c r="A45" s="31" t="s">
        <v>50</v>
      </c>
      <c r="B45" s="32"/>
      <c r="C45" s="40"/>
      <c r="D45" s="34"/>
      <c r="E45" s="35"/>
      <c r="F45" s="36"/>
      <c r="G45" s="36"/>
      <c r="H45" s="34"/>
      <c r="I45" s="40"/>
      <c r="J45" s="34"/>
      <c r="K45" s="63">
        <f>SUM(K30:K44)</f>
        <v>11150000</v>
      </c>
      <c r="L45" s="34"/>
      <c r="M45" s="34"/>
      <c r="N45" s="56"/>
      <c r="O45" s="59"/>
      <c r="P45" s="56"/>
      <c r="Q45" s="77">
        <f>SUM(Q30:Q44)</f>
        <v>10941445.65</v>
      </c>
      <c r="R45" s="73">
        <f t="shared" si="2"/>
        <v>208554.34999999963</v>
      </c>
    </row>
    <row r="46" spans="1:18" s="4" customFormat="1" ht="37.5" customHeight="1">
      <c r="A46" s="30">
        <v>1</v>
      </c>
      <c r="B46" s="20" t="s">
        <v>20</v>
      </c>
      <c r="C46" s="37" t="s">
        <v>68</v>
      </c>
      <c r="D46" s="26" t="s">
        <v>22</v>
      </c>
      <c r="E46" s="41">
        <v>2240000</v>
      </c>
      <c r="F46" s="25" t="s">
        <v>23</v>
      </c>
      <c r="G46" s="25">
        <v>21305</v>
      </c>
      <c r="H46" s="26">
        <v>1</v>
      </c>
      <c r="I46" s="26" t="s">
        <v>69</v>
      </c>
      <c r="J46" s="48" t="s">
        <v>25</v>
      </c>
      <c r="K46" s="64">
        <v>500000</v>
      </c>
      <c r="L46" s="26" t="s">
        <v>69</v>
      </c>
      <c r="M46" s="26">
        <v>2130505</v>
      </c>
      <c r="N46" s="20"/>
      <c r="O46" s="50" t="s">
        <v>28</v>
      </c>
      <c r="P46" s="20"/>
      <c r="Q46" s="76">
        <f>232800+267200</f>
        <v>500000</v>
      </c>
      <c r="R46" s="73">
        <f t="shared" si="2"/>
        <v>0</v>
      </c>
    </row>
    <row r="47" spans="1:18" s="4" customFormat="1" ht="37.5" customHeight="1">
      <c r="A47" s="30">
        <v>2</v>
      </c>
      <c r="B47" s="20" t="s">
        <v>20</v>
      </c>
      <c r="C47" s="37" t="s">
        <v>68</v>
      </c>
      <c r="D47" s="26" t="s">
        <v>22</v>
      </c>
      <c r="E47" s="41"/>
      <c r="F47" s="25" t="s">
        <v>23</v>
      </c>
      <c r="G47" s="25">
        <v>21305</v>
      </c>
      <c r="H47" s="26">
        <v>2</v>
      </c>
      <c r="I47" s="26" t="s">
        <v>70</v>
      </c>
      <c r="J47" s="48" t="s">
        <v>25</v>
      </c>
      <c r="K47" s="64">
        <v>500000</v>
      </c>
      <c r="L47" s="26" t="s">
        <v>70</v>
      </c>
      <c r="M47" s="26">
        <v>2130505</v>
      </c>
      <c r="N47" s="20"/>
      <c r="O47" s="50" t="s">
        <v>26</v>
      </c>
      <c r="P47" s="20"/>
      <c r="Q47" s="76">
        <f>278540+167124+54336</f>
        <v>500000</v>
      </c>
      <c r="R47" s="73">
        <f t="shared" si="2"/>
        <v>0</v>
      </c>
    </row>
    <row r="48" spans="1:18" s="4" customFormat="1" ht="37.5" customHeight="1">
      <c r="A48" s="30">
        <v>3</v>
      </c>
      <c r="B48" s="20" t="s">
        <v>20</v>
      </c>
      <c r="C48" s="37" t="s">
        <v>68</v>
      </c>
      <c r="D48" s="26" t="s">
        <v>22</v>
      </c>
      <c r="E48" s="41"/>
      <c r="F48" s="25" t="s">
        <v>23</v>
      </c>
      <c r="G48" s="25">
        <v>21305</v>
      </c>
      <c r="H48" s="26">
        <v>3</v>
      </c>
      <c r="I48" s="26" t="s">
        <v>66</v>
      </c>
      <c r="J48" s="48" t="s">
        <v>36</v>
      </c>
      <c r="K48" s="64">
        <v>460000</v>
      </c>
      <c r="L48" s="26" t="s">
        <v>66</v>
      </c>
      <c r="M48" s="26">
        <v>2130504</v>
      </c>
      <c r="N48" s="20"/>
      <c r="O48" s="50" t="s">
        <v>71</v>
      </c>
      <c r="P48" s="20"/>
      <c r="Q48" s="76">
        <f>318515.96+136506.84</f>
        <v>455022.80000000005</v>
      </c>
      <c r="R48" s="73">
        <f t="shared" si="2"/>
        <v>4977.199999999953</v>
      </c>
    </row>
    <row r="49" spans="1:18" s="4" customFormat="1" ht="37.5" customHeight="1">
      <c r="A49" s="30">
        <v>4</v>
      </c>
      <c r="B49" s="20" t="s">
        <v>20</v>
      </c>
      <c r="C49" s="37" t="s">
        <v>68</v>
      </c>
      <c r="D49" s="26" t="s">
        <v>22</v>
      </c>
      <c r="E49" s="41"/>
      <c r="F49" s="25" t="s">
        <v>23</v>
      </c>
      <c r="G49" s="25">
        <v>21305</v>
      </c>
      <c r="H49" s="26">
        <v>4</v>
      </c>
      <c r="I49" s="26" t="s">
        <v>67</v>
      </c>
      <c r="J49" s="48" t="s">
        <v>36</v>
      </c>
      <c r="K49" s="64">
        <v>180000</v>
      </c>
      <c r="L49" s="26" t="s">
        <v>67</v>
      </c>
      <c r="M49" s="26">
        <v>2130504</v>
      </c>
      <c r="N49" s="20"/>
      <c r="O49" s="50" t="s">
        <v>40</v>
      </c>
      <c r="P49" s="20"/>
      <c r="Q49" s="76">
        <v>180000</v>
      </c>
      <c r="R49" s="73">
        <f t="shared" si="2"/>
        <v>0</v>
      </c>
    </row>
    <row r="50" spans="1:18" s="4" customFormat="1" ht="37.5" customHeight="1">
      <c r="A50" s="30">
        <v>5</v>
      </c>
      <c r="B50" s="20" t="s">
        <v>20</v>
      </c>
      <c r="C50" s="37" t="s">
        <v>68</v>
      </c>
      <c r="D50" s="26" t="s">
        <v>22</v>
      </c>
      <c r="E50" s="41"/>
      <c r="F50" s="25" t="s">
        <v>23</v>
      </c>
      <c r="G50" s="25">
        <v>21305</v>
      </c>
      <c r="H50" s="26">
        <v>5</v>
      </c>
      <c r="I50" s="26" t="s">
        <v>33</v>
      </c>
      <c r="J50" s="48" t="s">
        <v>25</v>
      </c>
      <c r="K50" s="64">
        <v>500000</v>
      </c>
      <c r="L50" s="26" t="s">
        <v>33</v>
      </c>
      <c r="M50" s="26">
        <v>2130505</v>
      </c>
      <c r="N50" s="20"/>
      <c r="O50" s="50" t="s">
        <v>38</v>
      </c>
      <c r="P50" s="20"/>
      <c r="Q50" s="76">
        <v>500000</v>
      </c>
      <c r="R50" s="73"/>
    </row>
    <row r="51" spans="1:18" s="4" customFormat="1" ht="37.5" customHeight="1">
      <c r="A51" s="30">
        <v>6</v>
      </c>
      <c r="B51" s="20" t="s">
        <v>20</v>
      </c>
      <c r="C51" s="37" t="s">
        <v>68</v>
      </c>
      <c r="D51" s="26" t="s">
        <v>22</v>
      </c>
      <c r="E51" s="42"/>
      <c r="F51" s="25" t="s">
        <v>23</v>
      </c>
      <c r="G51" s="25">
        <v>21305</v>
      </c>
      <c r="H51" s="26">
        <v>6</v>
      </c>
      <c r="I51" s="26" t="s">
        <v>55</v>
      </c>
      <c r="J51" s="48" t="s">
        <v>36</v>
      </c>
      <c r="K51" s="64">
        <v>100000</v>
      </c>
      <c r="L51" s="26" t="s">
        <v>55</v>
      </c>
      <c r="M51" s="26">
        <v>2130504</v>
      </c>
      <c r="N51" s="20"/>
      <c r="O51" s="50" t="s">
        <v>62</v>
      </c>
      <c r="P51" s="20"/>
      <c r="Q51" s="76">
        <v>100000</v>
      </c>
      <c r="R51" s="73">
        <f aca="true" t="shared" si="3" ref="R51:R57">K51-Q51</f>
        <v>0</v>
      </c>
    </row>
    <row r="52" spans="1:18" s="6" customFormat="1" ht="37.5" customHeight="1">
      <c r="A52" s="31" t="s">
        <v>50</v>
      </c>
      <c r="B52" s="32"/>
      <c r="C52" s="40"/>
      <c r="D52" s="34"/>
      <c r="E52" s="35"/>
      <c r="F52" s="36"/>
      <c r="G52" s="36"/>
      <c r="H52" s="34"/>
      <c r="I52" s="40"/>
      <c r="J52" s="34"/>
      <c r="K52" s="63">
        <f>SUM(K46:K51)</f>
        <v>2240000</v>
      </c>
      <c r="L52" s="34"/>
      <c r="M52" s="34"/>
      <c r="N52" s="56"/>
      <c r="O52" s="59"/>
      <c r="P52" s="56"/>
      <c r="Q52" s="77">
        <f>SUM(Q46:Q51)</f>
        <v>2235022.8</v>
      </c>
      <c r="R52" s="73">
        <f t="shared" si="3"/>
        <v>4977.200000000186</v>
      </c>
    </row>
    <row r="53" spans="1:18" s="4" customFormat="1" ht="37.5" customHeight="1">
      <c r="A53" s="30">
        <v>1</v>
      </c>
      <c r="B53" s="20" t="s">
        <v>58</v>
      </c>
      <c r="C53" s="37" t="s">
        <v>72</v>
      </c>
      <c r="D53" s="26" t="s">
        <v>60</v>
      </c>
      <c r="E53" s="41">
        <v>1700000</v>
      </c>
      <c r="F53" s="25" t="s">
        <v>23</v>
      </c>
      <c r="G53" s="25">
        <v>21305</v>
      </c>
      <c r="H53" s="26">
        <v>1</v>
      </c>
      <c r="I53" s="26" t="s">
        <v>70</v>
      </c>
      <c r="J53" s="48" t="s">
        <v>25</v>
      </c>
      <c r="K53" s="64">
        <v>610000</v>
      </c>
      <c r="L53" s="26" t="s">
        <v>70</v>
      </c>
      <c r="M53" s="26">
        <v>2130505</v>
      </c>
      <c r="N53" s="20"/>
      <c r="O53" s="26" t="s">
        <v>26</v>
      </c>
      <c r="P53" s="20"/>
      <c r="Q53" s="76">
        <f>358607.95+23497.61+57080</f>
        <v>439185.56</v>
      </c>
      <c r="R53" s="73">
        <f t="shared" si="3"/>
        <v>170814.44</v>
      </c>
    </row>
    <row r="54" spans="1:18" s="4" customFormat="1" ht="37.5" customHeight="1">
      <c r="A54" s="30">
        <v>2</v>
      </c>
      <c r="B54" s="20" t="s">
        <v>58</v>
      </c>
      <c r="C54" s="37" t="s">
        <v>72</v>
      </c>
      <c r="D54" s="26" t="s">
        <v>60</v>
      </c>
      <c r="E54" s="41"/>
      <c r="F54" s="25" t="s">
        <v>23</v>
      </c>
      <c r="G54" s="25">
        <v>21305</v>
      </c>
      <c r="H54" s="26">
        <v>2</v>
      </c>
      <c r="I54" s="26" t="s">
        <v>33</v>
      </c>
      <c r="J54" s="48" t="s">
        <v>25</v>
      </c>
      <c r="K54" s="64">
        <v>300000</v>
      </c>
      <c r="L54" s="26" t="s">
        <v>33</v>
      </c>
      <c r="M54" s="26">
        <v>2130505</v>
      </c>
      <c r="N54" s="20"/>
      <c r="O54" s="26" t="s">
        <v>38</v>
      </c>
      <c r="P54" s="20"/>
      <c r="Q54" s="76">
        <f>273000+3000</f>
        <v>276000</v>
      </c>
      <c r="R54" s="73">
        <f aca="true" t="shared" si="4" ref="R54:R59">K54-Q54</f>
        <v>24000</v>
      </c>
    </row>
    <row r="55" spans="1:18" s="4" customFormat="1" ht="37.5" customHeight="1">
      <c r="A55" s="30">
        <v>3</v>
      </c>
      <c r="B55" s="20" t="s">
        <v>58</v>
      </c>
      <c r="C55" s="37" t="s">
        <v>72</v>
      </c>
      <c r="D55" s="26" t="s">
        <v>60</v>
      </c>
      <c r="E55" s="41"/>
      <c r="F55" s="25" t="s">
        <v>23</v>
      </c>
      <c r="G55" s="25">
        <v>21305</v>
      </c>
      <c r="H55" s="26">
        <v>3</v>
      </c>
      <c r="I55" s="26" t="s">
        <v>67</v>
      </c>
      <c r="J55" s="48" t="s">
        <v>36</v>
      </c>
      <c r="K55" s="64">
        <v>430000</v>
      </c>
      <c r="L55" s="26" t="s">
        <v>67</v>
      </c>
      <c r="M55" s="26">
        <v>2130504</v>
      </c>
      <c r="N55" s="20"/>
      <c r="O55" s="26" t="s">
        <v>40</v>
      </c>
      <c r="P55" s="20"/>
      <c r="Q55" s="76">
        <f>173232.9+229995.3</f>
        <v>403228.19999999995</v>
      </c>
      <c r="R55" s="73">
        <f t="shared" si="4"/>
        <v>26771.800000000047</v>
      </c>
    </row>
    <row r="56" spans="1:18" s="4" customFormat="1" ht="37.5" customHeight="1">
      <c r="A56" s="30">
        <v>4</v>
      </c>
      <c r="B56" s="20" t="s">
        <v>58</v>
      </c>
      <c r="C56" s="37" t="s">
        <v>72</v>
      </c>
      <c r="D56" s="26" t="s">
        <v>60</v>
      </c>
      <c r="E56" s="41"/>
      <c r="F56" s="25" t="s">
        <v>23</v>
      </c>
      <c r="G56" s="25">
        <v>21305</v>
      </c>
      <c r="H56" s="26">
        <v>4</v>
      </c>
      <c r="I56" s="26" t="s">
        <v>73</v>
      </c>
      <c r="J56" s="48" t="s">
        <v>36</v>
      </c>
      <c r="K56" s="64">
        <v>160000</v>
      </c>
      <c r="L56" s="26" t="s">
        <v>73</v>
      </c>
      <c r="M56" s="26">
        <v>2130504</v>
      </c>
      <c r="N56" s="20"/>
      <c r="O56" s="26" t="s">
        <v>38</v>
      </c>
      <c r="P56" s="20"/>
      <c r="Q56" s="76"/>
      <c r="R56" s="73">
        <f t="shared" si="4"/>
        <v>160000</v>
      </c>
    </row>
    <row r="57" spans="1:18" s="4" customFormat="1" ht="37.5" customHeight="1">
      <c r="A57" s="30">
        <v>5</v>
      </c>
      <c r="B57" s="20" t="s">
        <v>58</v>
      </c>
      <c r="C57" s="37" t="s">
        <v>72</v>
      </c>
      <c r="D57" s="26" t="s">
        <v>60</v>
      </c>
      <c r="E57" s="42"/>
      <c r="F57" s="25" t="s">
        <v>23</v>
      </c>
      <c r="G57" s="25">
        <v>21305</v>
      </c>
      <c r="H57" s="26">
        <v>5</v>
      </c>
      <c r="I57" s="26" t="s">
        <v>74</v>
      </c>
      <c r="J57" s="48" t="s">
        <v>36</v>
      </c>
      <c r="K57" s="64">
        <v>196500</v>
      </c>
      <c r="L57" s="26" t="s">
        <v>74</v>
      </c>
      <c r="M57" s="26">
        <v>2130504</v>
      </c>
      <c r="N57" s="20"/>
      <c r="O57" s="26" t="s">
        <v>46</v>
      </c>
      <c r="P57" s="20"/>
      <c r="Q57" s="72">
        <f>171450</f>
        <v>171450</v>
      </c>
      <c r="R57" s="73">
        <f t="shared" si="4"/>
        <v>25050</v>
      </c>
    </row>
    <row r="58" spans="1:18" s="4" customFormat="1" ht="37.5" customHeight="1">
      <c r="A58" s="30">
        <v>6</v>
      </c>
      <c r="B58" s="20" t="s">
        <v>58</v>
      </c>
      <c r="C58" s="37" t="s">
        <v>72</v>
      </c>
      <c r="D58" s="26" t="s">
        <v>60</v>
      </c>
      <c r="E58" s="42"/>
      <c r="F58" s="25" t="s">
        <v>23</v>
      </c>
      <c r="G58" s="25">
        <v>21305</v>
      </c>
      <c r="H58" s="26">
        <v>6</v>
      </c>
      <c r="I58" s="26" t="s">
        <v>45</v>
      </c>
      <c r="J58" s="48" t="s">
        <v>44</v>
      </c>
      <c r="K58" s="65">
        <v>3500</v>
      </c>
      <c r="L58" s="26" t="s">
        <v>45</v>
      </c>
      <c r="M58" s="26">
        <v>2130599</v>
      </c>
      <c r="N58" s="50"/>
      <c r="O58" s="50" t="s">
        <v>46</v>
      </c>
      <c r="P58" s="20"/>
      <c r="Q58" s="72">
        <v>3500</v>
      </c>
      <c r="R58" s="73">
        <f t="shared" si="4"/>
        <v>0</v>
      </c>
    </row>
    <row r="59" spans="1:18" s="6" customFormat="1" ht="37.5" customHeight="1">
      <c r="A59" s="31" t="s">
        <v>50</v>
      </c>
      <c r="B59" s="32"/>
      <c r="C59" s="40"/>
      <c r="D59" s="34"/>
      <c r="E59" s="35"/>
      <c r="F59" s="36"/>
      <c r="G59" s="36"/>
      <c r="H59" s="34"/>
      <c r="I59" s="40"/>
      <c r="J59" s="34"/>
      <c r="K59" s="63">
        <f>SUM(K53:K58)</f>
        <v>1700000</v>
      </c>
      <c r="L59" s="34"/>
      <c r="M59" s="34"/>
      <c r="N59" s="56"/>
      <c r="O59" s="59"/>
      <c r="P59" s="56"/>
      <c r="Q59" s="77">
        <f>SUM(Q53:Q58)</f>
        <v>1293363.76</v>
      </c>
      <c r="R59" s="73">
        <f t="shared" si="4"/>
        <v>406636.24</v>
      </c>
    </row>
    <row r="60" spans="1:18" s="4" customFormat="1" ht="37.5" customHeight="1">
      <c r="A60" s="30">
        <v>1</v>
      </c>
      <c r="B60" s="20" t="s">
        <v>51</v>
      </c>
      <c r="C60" s="37" t="s">
        <v>75</v>
      </c>
      <c r="D60" s="26" t="s">
        <v>22</v>
      </c>
      <c r="E60" s="43">
        <v>1610000</v>
      </c>
      <c r="F60" s="25" t="s">
        <v>23</v>
      </c>
      <c r="G60" s="25">
        <v>21305</v>
      </c>
      <c r="H60" s="26">
        <v>1</v>
      </c>
      <c r="I60" s="26" t="s">
        <v>70</v>
      </c>
      <c r="J60" s="48" t="s">
        <v>25</v>
      </c>
      <c r="K60" s="64">
        <v>970000</v>
      </c>
      <c r="L60" s="26" t="s">
        <v>70</v>
      </c>
      <c r="M60" s="26">
        <v>2130505</v>
      </c>
      <c r="N60" s="20"/>
      <c r="O60" s="26" t="s">
        <v>26</v>
      </c>
      <c r="P60" s="20"/>
      <c r="Q60" s="76">
        <v>970000</v>
      </c>
      <c r="R60" s="73">
        <f aca="true" t="shared" si="5" ref="R59:R69">K60-Q60</f>
        <v>0</v>
      </c>
    </row>
    <row r="61" spans="1:18" s="4" customFormat="1" ht="37.5" customHeight="1">
      <c r="A61" s="30">
        <v>2</v>
      </c>
      <c r="B61" s="20" t="s">
        <v>51</v>
      </c>
      <c r="C61" s="37" t="s">
        <v>75</v>
      </c>
      <c r="D61" s="26" t="s">
        <v>22</v>
      </c>
      <c r="E61" s="42"/>
      <c r="F61" s="25" t="s">
        <v>23</v>
      </c>
      <c r="G61" s="25">
        <v>21305</v>
      </c>
      <c r="H61" s="26">
        <v>2</v>
      </c>
      <c r="I61" s="26" t="s">
        <v>73</v>
      </c>
      <c r="J61" s="48" t="s">
        <v>36</v>
      </c>
      <c r="K61" s="64">
        <v>640000</v>
      </c>
      <c r="L61" s="26" t="s">
        <v>73</v>
      </c>
      <c r="M61" s="26">
        <v>2130504</v>
      </c>
      <c r="N61" s="20"/>
      <c r="O61" s="26" t="s">
        <v>38</v>
      </c>
      <c r="P61" s="20"/>
      <c r="Q61" s="76">
        <v>496659.9</v>
      </c>
      <c r="R61" s="73">
        <f t="shared" si="5"/>
        <v>143340.09999999998</v>
      </c>
    </row>
    <row r="62" spans="1:18" s="6" customFormat="1" ht="37.5" customHeight="1">
      <c r="A62" s="31" t="s">
        <v>50</v>
      </c>
      <c r="B62" s="32"/>
      <c r="C62" s="40"/>
      <c r="D62" s="34"/>
      <c r="E62" s="35"/>
      <c r="F62" s="36"/>
      <c r="G62" s="36"/>
      <c r="H62" s="34"/>
      <c r="I62" s="40"/>
      <c r="J62" s="34"/>
      <c r="K62" s="63">
        <f>SUM(K60:K61)</f>
        <v>1610000</v>
      </c>
      <c r="L62" s="34"/>
      <c r="M62" s="34"/>
      <c r="N62" s="56"/>
      <c r="O62" s="59"/>
      <c r="P62" s="56"/>
      <c r="Q62" s="77">
        <f>SUM(Q60:Q61)</f>
        <v>1466659.9</v>
      </c>
      <c r="R62" s="73">
        <f t="shared" si="5"/>
        <v>143340.1000000001</v>
      </c>
    </row>
    <row r="63" spans="1:18" s="4" customFormat="1" ht="37.5" customHeight="1">
      <c r="A63" s="44">
        <v>1</v>
      </c>
      <c r="B63" s="20" t="s">
        <v>76</v>
      </c>
      <c r="C63" s="37" t="s">
        <v>77</v>
      </c>
      <c r="D63" s="26" t="s">
        <v>60</v>
      </c>
      <c r="E63" s="41">
        <v>2860000</v>
      </c>
      <c r="F63" s="25" t="s">
        <v>23</v>
      </c>
      <c r="G63" s="25">
        <v>21305</v>
      </c>
      <c r="H63" s="26">
        <v>1</v>
      </c>
      <c r="I63" s="26" t="s">
        <v>69</v>
      </c>
      <c r="J63" s="48" t="s">
        <v>25</v>
      </c>
      <c r="K63" s="64">
        <v>800000</v>
      </c>
      <c r="L63" s="26" t="s">
        <v>69</v>
      </c>
      <c r="M63" s="26">
        <v>2130505</v>
      </c>
      <c r="N63" s="20"/>
      <c r="O63" s="50" t="s">
        <v>28</v>
      </c>
      <c r="P63" s="20"/>
      <c r="Q63" s="76">
        <f>139909+630091+30000</f>
        <v>800000</v>
      </c>
      <c r="R63" s="73">
        <f t="shared" si="5"/>
        <v>0</v>
      </c>
    </row>
    <row r="64" spans="1:18" s="4" customFormat="1" ht="37.5" customHeight="1">
      <c r="A64" s="44">
        <v>2</v>
      </c>
      <c r="B64" s="20" t="s">
        <v>76</v>
      </c>
      <c r="C64" s="37" t="s">
        <v>77</v>
      </c>
      <c r="D64" s="26" t="s">
        <v>60</v>
      </c>
      <c r="E64" s="41"/>
      <c r="F64" s="25" t="s">
        <v>23</v>
      </c>
      <c r="G64" s="25">
        <v>21305</v>
      </c>
      <c r="H64" s="26">
        <v>2</v>
      </c>
      <c r="I64" s="26" t="s">
        <v>70</v>
      </c>
      <c r="J64" s="48" t="s">
        <v>25</v>
      </c>
      <c r="K64" s="64">
        <v>920000</v>
      </c>
      <c r="L64" s="26" t="s">
        <v>70</v>
      </c>
      <c r="M64" s="26">
        <v>2130505</v>
      </c>
      <c r="N64" s="20"/>
      <c r="O64" s="50" t="s">
        <v>26</v>
      </c>
      <c r="P64" s="20"/>
      <c r="Q64" s="76">
        <v>552922.92</v>
      </c>
      <c r="R64" s="73">
        <f t="shared" si="5"/>
        <v>367077.07999999996</v>
      </c>
    </row>
    <row r="65" spans="1:18" s="4" customFormat="1" ht="37.5" customHeight="1">
      <c r="A65" s="44">
        <v>3</v>
      </c>
      <c r="B65" s="20" t="s">
        <v>76</v>
      </c>
      <c r="C65" s="37" t="s">
        <v>77</v>
      </c>
      <c r="D65" s="26" t="s">
        <v>60</v>
      </c>
      <c r="E65" s="41"/>
      <c r="F65" s="25" t="s">
        <v>23</v>
      </c>
      <c r="G65" s="25">
        <v>21305</v>
      </c>
      <c r="H65" s="26">
        <v>3</v>
      </c>
      <c r="I65" s="26" t="s">
        <v>78</v>
      </c>
      <c r="J65" s="48" t="s">
        <v>36</v>
      </c>
      <c r="K65" s="64">
        <v>700000</v>
      </c>
      <c r="L65" s="26" t="s">
        <v>78</v>
      </c>
      <c r="M65" s="26">
        <v>2130504</v>
      </c>
      <c r="N65" s="20"/>
      <c r="O65" s="50" t="s">
        <v>71</v>
      </c>
      <c r="P65" s="20"/>
      <c r="Q65" s="76">
        <f>488398.89+209313.81</f>
        <v>697712.7</v>
      </c>
      <c r="R65" s="73">
        <f t="shared" si="5"/>
        <v>2287.3000000000466</v>
      </c>
    </row>
    <row r="66" spans="1:18" s="4" customFormat="1" ht="37.5" customHeight="1">
      <c r="A66" s="44">
        <v>4</v>
      </c>
      <c r="B66" s="20" t="s">
        <v>76</v>
      </c>
      <c r="C66" s="37" t="s">
        <v>77</v>
      </c>
      <c r="D66" s="26" t="s">
        <v>60</v>
      </c>
      <c r="E66" s="41"/>
      <c r="F66" s="25" t="s">
        <v>23</v>
      </c>
      <c r="G66" s="25">
        <v>21305</v>
      </c>
      <c r="H66" s="26">
        <v>4</v>
      </c>
      <c r="I66" s="26" t="s">
        <v>67</v>
      </c>
      <c r="J66" s="48" t="s">
        <v>36</v>
      </c>
      <c r="K66" s="64">
        <v>190000</v>
      </c>
      <c r="L66" s="26" t="s">
        <v>67</v>
      </c>
      <c r="M66" s="26">
        <v>2130504</v>
      </c>
      <c r="N66" s="20"/>
      <c r="O66" s="50" t="s">
        <v>40</v>
      </c>
      <c r="P66" s="20"/>
      <c r="Q66" s="76">
        <v>190000</v>
      </c>
      <c r="R66" s="73">
        <f t="shared" si="5"/>
        <v>0</v>
      </c>
    </row>
    <row r="67" spans="1:18" s="4" customFormat="1" ht="37.5" customHeight="1">
      <c r="A67" s="44">
        <v>5</v>
      </c>
      <c r="B67" s="20" t="s">
        <v>76</v>
      </c>
      <c r="C67" s="37" t="s">
        <v>77</v>
      </c>
      <c r="D67" s="26" t="s">
        <v>60</v>
      </c>
      <c r="E67" s="42"/>
      <c r="F67" s="25" t="s">
        <v>23</v>
      </c>
      <c r="G67" s="25">
        <v>21305</v>
      </c>
      <c r="H67" s="26">
        <v>5</v>
      </c>
      <c r="I67" s="26" t="s">
        <v>55</v>
      </c>
      <c r="J67" s="48" t="s">
        <v>36</v>
      </c>
      <c r="K67" s="64">
        <v>250000</v>
      </c>
      <c r="L67" s="26" t="s">
        <v>55</v>
      </c>
      <c r="M67" s="26">
        <v>2130504</v>
      </c>
      <c r="N67" s="20"/>
      <c r="O67" s="50" t="s">
        <v>62</v>
      </c>
      <c r="P67" s="20"/>
      <c r="Q67" s="76">
        <f>66250.01+99750+66103.34</f>
        <v>232103.35</v>
      </c>
      <c r="R67" s="73">
        <f t="shared" si="5"/>
        <v>17896.649999999994</v>
      </c>
    </row>
    <row r="68" spans="1:18" s="6" customFormat="1" ht="37.5" customHeight="1">
      <c r="A68" s="31" t="s">
        <v>50</v>
      </c>
      <c r="B68" s="32"/>
      <c r="C68" s="40"/>
      <c r="D68" s="34"/>
      <c r="E68" s="35"/>
      <c r="F68" s="36"/>
      <c r="G68" s="36"/>
      <c r="H68" s="34"/>
      <c r="I68" s="40"/>
      <c r="J68" s="34"/>
      <c r="K68" s="63">
        <f>SUM(K63:K67)</f>
        <v>2860000</v>
      </c>
      <c r="L68" s="34"/>
      <c r="M68" s="34"/>
      <c r="N68" s="56"/>
      <c r="O68" s="59"/>
      <c r="P68" s="56"/>
      <c r="Q68" s="77">
        <f>SUM(Q63:Q67)</f>
        <v>2472738.97</v>
      </c>
      <c r="R68" s="73">
        <f t="shared" si="5"/>
        <v>387261.0299999998</v>
      </c>
    </row>
    <row r="69" spans="1:18" s="6" customFormat="1" ht="37.5" customHeight="1">
      <c r="A69" s="31" t="s">
        <v>79</v>
      </c>
      <c r="B69" s="32"/>
      <c r="C69" s="40"/>
      <c r="D69" s="34"/>
      <c r="E69" s="35">
        <v>38740000</v>
      </c>
      <c r="F69" s="36"/>
      <c r="G69" s="36"/>
      <c r="H69" s="34"/>
      <c r="I69" s="34"/>
      <c r="J69" s="34"/>
      <c r="K69" s="63">
        <f>K20+K29+K45+K52+K59+K62+K68</f>
        <v>38740000</v>
      </c>
      <c r="L69" s="34"/>
      <c r="M69" s="78"/>
      <c r="N69" s="56"/>
      <c r="O69" s="57"/>
      <c r="P69" s="56"/>
      <c r="Q69" s="77">
        <f>Q20+Q29+Q45+Q52+Q59+Q62+Q68</f>
        <v>37210368.56</v>
      </c>
      <c r="R69" s="73">
        <f t="shared" si="5"/>
        <v>1529631.4399999976</v>
      </c>
    </row>
    <row r="83" ht="13.5"/>
  </sheetData>
  <sheetProtection/>
  <autoFilter ref="A4:R69"/>
  <mergeCells count="33">
    <mergeCell ref="A1:R1"/>
    <mergeCell ref="B2:G2"/>
    <mergeCell ref="H2:P2"/>
    <mergeCell ref="H3:J3"/>
    <mergeCell ref="L3:M3"/>
    <mergeCell ref="A20:B20"/>
    <mergeCell ref="A29:B29"/>
    <mergeCell ref="A45:B45"/>
    <mergeCell ref="A52:B52"/>
    <mergeCell ref="A59:B59"/>
    <mergeCell ref="A62:B62"/>
    <mergeCell ref="A68:B68"/>
    <mergeCell ref="A69:B69"/>
    <mergeCell ref="A2:A4"/>
    <mergeCell ref="B3:B4"/>
    <mergeCell ref="C3:C4"/>
    <mergeCell ref="D3:D4"/>
    <mergeCell ref="E3:E4"/>
    <mergeCell ref="E5:E18"/>
    <mergeCell ref="E21:E27"/>
    <mergeCell ref="E30:E42"/>
    <mergeCell ref="E46:E51"/>
    <mergeCell ref="E53:E57"/>
    <mergeCell ref="E60:E61"/>
    <mergeCell ref="E63:E67"/>
    <mergeCell ref="F3:F4"/>
    <mergeCell ref="G3:G4"/>
    <mergeCell ref="K3:K4"/>
    <mergeCell ref="N3:N4"/>
    <mergeCell ref="O3:O4"/>
    <mergeCell ref="P3:P4"/>
    <mergeCell ref="Q2:Q4"/>
    <mergeCell ref="R2:R4"/>
  </mergeCells>
  <printOptions horizontalCentered="1" verticalCentered="1"/>
  <pageMargins left="0.15748031496062992" right="0.15748031496062992" top="0.1968503937007874" bottom="0.1968503937007874" header="0.5118110236220472" footer="0.5118110236220472"/>
  <pageSetup fitToHeight="0" fitToWidth="1" horizontalDpi="600" verticalDpi="600" orientation="landscape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2021-09-27T07:02:56Z</cp:lastPrinted>
  <dcterms:created xsi:type="dcterms:W3CDTF">2006-09-13T11:21:51Z</dcterms:created>
  <dcterms:modified xsi:type="dcterms:W3CDTF">2023-12-29T01:24:24Z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